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v_DB_Hoff\D&amp;B_arb.bok\Regneark_DB_ArbBok\"/>
    </mc:Choice>
  </mc:AlternateContent>
  <bookViews>
    <workbookView xWindow="0" yWindow="0" windowWidth="14880" windowHeight="10695" activeTab="5"/>
  </bookViews>
  <sheets>
    <sheet name="17.12" sheetId="7" r:id="rId1"/>
    <sheet name="17.15" sheetId="5" r:id="rId2"/>
    <sheet name="17.16" sheetId="3" r:id="rId3"/>
    <sheet name="17.17" sheetId="8" r:id="rId4"/>
    <sheet name="17.18" sheetId="6" r:id="rId5"/>
    <sheet name="17.19" sheetId="9" r:id="rId6"/>
  </sheets>
  <externalReferences>
    <externalReference r:id="rId7"/>
  </externalReferences>
  <definedNames>
    <definedName name="anscount" hidden="1">1</definedName>
    <definedName name="d_1">'[1]Løsn kap 5'!$E$164</definedName>
    <definedName name="d_2">'[1]Løsn kap 5'!$E$165</definedName>
    <definedName name="rente">'[1]Løsn kap 5'!$B$166</definedName>
    <definedName name="S">'[1]Løsn kap 5'!$B$164</definedName>
    <definedName name="sencount" hidden="1">2</definedName>
    <definedName name="sigma">'[1]Løsn kap 5'!$B$167</definedName>
    <definedName name="T">'[1]Løsn kap 5'!$B$168</definedName>
    <definedName name="X">'[1]Løsn kap 5'!$B$165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9" l="1"/>
  <c r="G19" i="9"/>
  <c r="G23" i="9"/>
  <c r="G25" i="9" s="1"/>
  <c r="B82" i="9" s="1"/>
  <c r="B102" i="9" s="1"/>
  <c r="B34" i="9"/>
  <c r="E34" i="9"/>
  <c r="I34" i="9"/>
  <c r="B35" i="9"/>
  <c r="C35" i="9"/>
  <c r="C42" i="9" s="1"/>
  <c r="C44" i="9" s="1"/>
  <c r="C62" i="9" s="1"/>
  <c r="D35" i="9"/>
  <c r="E35" i="9"/>
  <c r="F35" i="9"/>
  <c r="G35" i="9"/>
  <c r="G42" i="9" s="1"/>
  <c r="I47" i="9" s="1"/>
  <c r="H35" i="9"/>
  <c r="H42" i="9" s="1"/>
  <c r="J47" i="9" s="1"/>
  <c r="I35" i="9"/>
  <c r="J35" i="9"/>
  <c r="K35" i="9"/>
  <c r="K42" i="9" s="1"/>
  <c r="M47" i="9" s="1"/>
  <c r="L35" i="9"/>
  <c r="L42" i="9" s="1"/>
  <c r="M35" i="9"/>
  <c r="B36" i="9"/>
  <c r="B43" i="9" s="1"/>
  <c r="C36" i="9"/>
  <c r="D36" i="9"/>
  <c r="E36" i="9"/>
  <c r="E43" i="9" s="1"/>
  <c r="F48" i="9" s="1"/>
  <c r="F36" i="9"/>
  <c r="F43" i="9" s="1"/>
  <c r="G48" i="9" s="1"/>
  <c r="G36" i="9"/>
  <c r="G43" i="9" s="1"/>
  <c r="H36" i="9"/>
  <c r="H43" i="9" s="1"/>
  <c r="I48" i="9" s="1"/>
  <c r="I36" i="9"/>
  <c r="I43" i="9" s="1"/>
  <c r="J48" i="9" s="1"/>
  <c r="J36" i="9"/>
  <c r="J43" i="9" s="1"/>
  <c r="K48" i="9" s="1"/>
  <c r="K36" i="9"/>
  <c r="L36" i="9"/>
  <c r="M36" i="9"/>
  <c r="B38" i="9"/>
  <c r="B37" i="9" s="1"/>
  <c r="C38" i="9"/>
  <c r="D38" i="9"/>
  <c r="E38" i="9"/>
  <c r="F34" i="9" s="1"/>
  <c r="F38" i="9"/>
  <c r="G34" i="9" s="1"/>
  <c r="G37" i="9" s="1"/>
  <c r="G38" i="9"/>
  <c r="H34" i="9" s="1"/>
  <c r="H38" i="9"/>
  <c r="I38" i="9"/>
  <c r="J34" i="9" s="1"/>
  <c r="J38" i="9"/>
  <c r="K34" i="9" s="1"/>
  <c r="K38" i="9"/>
  <c r="L38" i="9"/>
  <c r="M34" i="9" s="1"/>
  <c r="M38" i="9"/>
  <c r="D42" i="9"/>
  <c r="C43" i="9"/>
  <c r="D48" i="9" s="1"/>
  <c r="D43" i="9"/>
  <c r="E48" i="9" s="1"/>
  <c r="K43" i="9"/>
  <c r="L43" i="9"/>
  <c r="M48" i="9" s="1"/>
  <c r="M43" i="9"/>
  <c r="N48" i="9" s="1"/>
  <c r="K44" i="9"/>
  <c r="K62" i="9" s="1"/>
  <c r="K86" i="9" s="1"/>
  <c r="E47" i="9"/>
  <c r="L48" i="9"/>
  <c r="B56" i="9"/>
  <c r="B58" i="9" s="1"/>
  <c r="B99" i="9" s="1"/>
  <c r="C56" i="9"/>
  <c r="C63" i="9"/>
  <c r="E63" i="9"/>
  <c r="B64" i="9"/>
  <c r="N64" i="9" s="1"/>
  <c r="C64" i="9"/>
  <c r="D64" i="9"/>
  <c r="D75" i="9" s="1"/>
  <c r="D78" i="9" s="1"/>
  <c r="E64" i="9"/>
  <c r="E75" i="9" s="1"/>
  <c r="E78" i="9" s="1"/>
  <c r="E80" i="9" s="1"/>
  <c r="F64" i="9"/>
  <c r="F75" i="9" s="1"/>
  <c r="F78" i="9" s="1"/>
  <c r="F80" i="9" s="1"/>
  <c r="H64" i="9"/>
  <c r="H75" i="9" s="1"/>
  <c r="H78" i="9" s="1"/>
  <c r="H80" i="9" s="1"/>
  <c r="I64" i="9"/>
  <c r="I75" i="9" s="1"/>
  <c r="I78" i="9" s="1"/>
  <c r="I80" i="9" s="1"/>
  <c r="J64" i="9"/>
  <c r="J75" i="9" s="1"/>
  <c r="J78" i="9" s="1"/>
  <c r="J80" i="9" s="1"/>
  <c r="J79" i="9" s="1"/>
  <c r="J76" i="9" s="1"/>
  <c r="K64" i="9"/>
  <c r="L64" i="9"/>
  <c r="M64" i="9"/>
  <c r="M75" i="9" s="1"/>
  <c r="M78" i="9" s="1"/>
  <c r="M80" i="9" s="1"/>
  <c r="B65" i="9"/>
  <c r="B88" i="9" s="1"/>
  <c r="C65" i="9"/>
  <c r="C88" i="9" s="1"/>
  <c r="D65" i="9"/>
  <c r="D88" i="9" s="1"/>
  <c r="E65" i="9"/>
  <c r="F65" i="9"/>
  <c r="G65" i="9"/>
  <c r="H65" i="9"/>
  <c r="H88" i="9" s="1"/>
  <c r="I65" i="9"/>
  <c r="I88" i="9" s="1"/>
  <c r="J65" i="9"/>
  <c r="J88" i="9" s="1"/>
  <c r="K65" i="9"/>
  <c r="K88" i="9" s="1"/>
  <c r="L65" i="9"/>
  <c r="L88" i="9" s="1"/>
  <c r="M65" i="9"/>
  <c r="M100" i="9" s="1"/>
  <c r="B66" i="9"/>
  <c r="C66" i="9"/>
  <c r="D66" i="9"/>
  <c r="E66" i="9"/>
  <c r="F66" i="9"/>
  <c r="G66" i="9"/>
  <c r="H66" i="9"/>
  <c r="I66" i="9"/>
  <c r="J66" i="9"/>
  <c r="K66" i="9"/>
  <c r="L66" i="9"/>
  <c r="M66" i="9"/>
  <c r="B68" i="9"/>
  <c r="C68" i="9"/>
  <c r="D68" i="9"/>
  <c r="E68" i="9"/>
  <c r="F68" i="9"/>
  <c r="G68" i="9"/>
  <c r="H68" i="9"/>
  <c r="I68" i="9"/>
  <c r="J68" i="9"/>
  <c r="K68" i="9"/>
  <c r="L68" i="9"/>
  <c r="M68" i="9"/>
  <c r="B75" i="9"/>
  <c r="C75" i="9"/>
  <c r="C78" i="9" s="1"/>
  <c r="C80" i="9" s="1"/>
  <c r="C77" i="9" s="1"/>
  <c r="G75" i="9"/>
  <c r="G78" i="9" s="1"/>
  <c r="G80" i="9" s="1"/>
  <c r="K75" i="9"/>
  <c r="L75" i="9"/>
  <c r="L78" i="9" s="1"/>
  <c r="L80" i="9" s="1"/>
  <c r="L101" i="9" s="1"/>
  <c r="B78" i="9"/>
  <c r="B80" i="9" s="1"/>
  <c r="B77" i="9" s="1"/>
  <c r="D82" i="9" s="1"/>
  <c r="D102" i="9" s="1"/>
  <c r="K78" i="9"/>
  <c r="K80" i="9" s="1"/>
  <c r="D80" i="9"/>
  <c r="F88" i="9"/>
  <c r="G88" i="9"/>
  <c r="C91" i="9"/>
  <c r="C103" i="9" s="1"/>
  <c r="B96" i="9"/>
  <c r="B97" i="9" s="1"/>
  <c r="B100" i="9"/>
  <c r="C100" i="9"/>
  <c r="F100" i="9"/>
  <c r="G100" i="9"/>
  <c r="H100" i="9"/>
  <c r="D101" i="9"/>
  <c r="G101" i="9"/>
  <c r="J101" i="9"/>
  <c r="I107" i="9"/>
  <c r="B108" i="9"/>
  <c r="B112" i="9" s="1"/>
  <c r="B113" i="9" s="1"/>
  <c r="F109" i="9"/>
  <c r="F112" i="9" s="1"/>
  <c r="F113" i="9" s="1"/>
  <c r="C110" i="9"/>
  <c r="C112" i="9" s="1"/>
  <c r="C113" i="9" s="1"/>
  <c r="I111" i="9"/>
  <c r="D112" i="9"/>
  <c r="D113" i="9" s="1"/>
  <c r="E112" i="9"/>
  <c r="E113" i="9" s="1"/>
  <c r="G112" i="9"/>
  <c r="G113" i="9" s="1"/>
  <c r="J112" i="9"/>
  <c r="K112" i="9"/>
  <c r="K113" i="9" s="1"/>
  <c r="L112" i="9"/>
  <c r="L113" i="9" s="1"/>
  <c r="M112" i="9"/>
  <c r="J113" i="9"/>
  <c r="M113" i="9"/>
  <c r="B116" i="9"/>
  <c r="E123" i="9"/>
  <c r="E126" i="9"/>
  <c r="C5" i="8"/>
  <c r="C21" i="8" s="1"/>
  <c r="C23" i="8" s="1"/>
  <c r="C36" i="8" s="1"/>
  <c r="C7" i="8"/>
  <c r="C30" i="8" s="1"/>
  <c r="F12" i="8"/>
  <c r="H12" i="8"/>
  <c r="B19" i="8"/>
  <c r="B23" i="8" s="1"/>
  <c r="B36" i="8" s="1"/>
  <c r="B20" i="8"/>
  <c r="C20" i="8"/>
  <c r="D21" i="8"/>
  <c r="D22" i="8"/>
  <c r="E22" i="8"/>
  <c r="D23" i="8"/>
  <c r="D36" i="8" s="1"/>
  <c r="E23" i="8"/>
  <c r="B25" i="8"/>
  <c r="C29" i="8" s="1"/>
  <c r="B28" i="8"/>
  <c r="B32" i="8" s="1"/>
  <c r="B37" i="8" s="1"/>
  <c r="B29" i="8"/>
  <c r="D30" i="8"/>
  <c r="D31" i="8"/>
  <c r="D32" i="8"/>
  <c r="D37" i="8" s="1"/>
  <c r="A36" i="8"/>
  <c r="A37" i="8"/>
  <c r="B38" i="8"/>
  <c r="E38" i="8" s="1"/>
  <c r="C38" i="8"/>
  <c r="D38" i="8"/>
  <c r="D40" i="8"/>
  <c r="E40" i="8" s="1"/>
  <c r="E43" i="8" s="1"/>
  <c r="D41" i="8"/>
  <c r="E41" i="8"/>
  <c r="B42" i="8"/>
  <c r="E42" i="8" s="1"/>
  <c r="C43" i="8"/>
  <c r="D43" i="8"/>
  <c r="B45" i="8"/>
  <c r="B50" i="8"/>
  <c r="B52" i="8"/>
  <c r="B53" i="8"/>
  <c r="B54" i="8"/>
  <c r="A59" i="8"/>
  <c r="B59" i="8"/>
  <c r="C59" i="8"/>
  <c r="D59" i="8"/>
  <c r="A60" i="8"/>
  <c r="B60" i="8"/>
  <c r="C60" i="8"/>
  <c r="A61" i="8"/>
  <c r="B61" i="8"/>
  <c r="C61" i="8"/>
  <c r="D61" i="8"/>
  <c r="C62" i="8"/>
  <c r="M101" i="9" l="1"/>
  <c r="M77" i="9"/>
  <c r="I77" i="9"/>
  <c r="I101" i="9"/>
  <c r="G77" i="9"/>
  <c r="G79" i="9"/>
  <c r="G76" i="9" s="1"/>
  <c r="M49" i="9"/>
  <c r="M96" i="9" s="1"/>
  <c r="M97" i="9" s="1"/>
  <c r="E49" i="9"/>
  <c r="E96" i="9" s="1"/>
  <c r="E97" i="9" s="1"/>
  <c r="L100" i="9"/>
  <c r="J100" i="9"/>
  <c r="D100" i="9"/>
  <c r="K63" i="9"/>
  <c r="K67" i="9" s="1"/>
  <c r="K69" i="9" s="1"/>
  <c r="L44" i="9"/>
  <c r="L62" i="9" s="1"/>
  <c r="L86" i="9" s="1"/>
  <c r="C34" i="9"/>
  <c r="K100" i="9"/>
  <c r="J37" i="9"/>
  <c r="J53" i="9" s="1"/>
  <c r="C67" i="9"/>
  <c r="C69" i="9" s="1"/>
  <c r="C86" i="9"/>
  <c r="J87" i="9"/>
  <c r="E79" i="9"/>
  <c r="E76" i="9" s="1"/>
  <c r="E77" i="9"/>
  <c r="E101" i="9"/>
  <c r="H77" i="9"/>
  <c r="J82" i="9" s="1"/>
  <c r="J102" i="9" s="1"/>
  <c r="H79" i="9"/>
  <c r="H76" i="9" s="1"/>
  <c r="H101" i="9"/>
  <c r="K77" i="9"/>
  <c r="K79" i="9"/>
  <c r="K76" i="9" s="1"/>
  <c r="K101" i="9"/>
  <c r="N68" i="9"/>
  <c r="N65" i="9"/>
  <c r="I112" i="9"/>
  <c r="I113" i="9" s="1"/>
  <c r="M88" i="9"/>
  <c r="F77" i="9"/>
  <c r="H82" i="9" s="1"/>
  <c r="H102" i="9" s="1"/>
  <c r="F79" i="9"/>
  <c r="F76" i="9" s="1"/>
  <c r="G44" i="9"/>
  <c r="G62" i="9" s="1"/>
  <c r="H48" i="9"/>
  <c r="F47" i="9"/>
  <c r="F49" i="9" s="1"/>
  <c r="F96" i="9" s="1"/>
  <c r="F97" i="9" s="1"/>
  <c r="D44" i="9"/>
  <c r="D62" i="9" s="1"/>
  <c r="L34" i="9"/>
  <c r="L37" i="9" s="1"/>
  <c r="L53" i="9" s="1"/>
  <c r="K37" i="9"/>
  <c r="D34" i="9"/>
  <c r="C37" i="9"/>
  <c r="C53" i="9" s="1"/>
  <c r="N43" i="9"/>
  <c r="C48" i="9"/>
  <c r="C49" i="9" s="1"/>
  <c r="C96" i="9" s="1"/>
  <c r="C97" i="9" s="1"/>
  <c r="F42" i="9"/>
  <c r="F37" i="9"/>
  <c r="F53" i="9" s="1"/>
  <c r="B63" i="9"/>
  <c r="B101" i="9"/>
  <c r="B104" i="9" s="1"/>
  <c r="B105" i="9" s="1"/>
  <c r="B114" i="9" s="1"/>
  <c r="B117" i="9" s="1"/>
  <c r="C116" i="9" s="1"/>
  <c r="E88" i="9"/>
  <c r="M79" i="9"/>
  <c r="M76" i="9" s="1"/>
  <c r="B79" i="9"/>
  <c r="J77" i="9"/>
  <c r="C101" i="9"/>
  <c r="C79" i="9"/>
  <c r="C76" i="9" s="1"/>
  <c r="J63" i="9"/>
  <c r="J42" i="9"/>
  <c r="B42" i="9"/>
  <c r="M63" i="9"/>
  <c r="M37" i="9"/>
  <c r="M42" i="9"/>
  <c r="M44" i="9" s="1"/>
  <c r="M62" i="9" s="1"/>
  <c r="I37" i="9"/>
  <c r="I53" i="9" s="1"/>
  <c r="I63" i="9"/>
  <c r="E37" i="9"/>
  <c r="E53" i="9" s="1"/>
  <c r="E42" i="9"/>
  <c r="E8" i="9"/>
  <c r="E19" i="9" s="1"/>
  <c r="M53" i="9"/>
  <c r="M87" i="9" s="1"/>
  <c r="D63" i="9"/>
  <c r="H63" i="9"/>
  <c r="L63" i="9"/>
  <c r="L67" i="9" s="1"/>
  <c r="L69" i="9" s="1"/>
  <c r="B53" i="9"/>
  <c r="G53" i="9"/>
  <c r="G63" i="9"/>
  <c r="K53" i="9"/>
  <c r="H108" i="9"/>
  <c r="H112" i="9" s="1"/>
  <c r="H113" i="9" s="1"/>
  <c r="F101" i="9"/>
  <c r="I100" i="9"/>
  <c r="E100" i="9"/>
  <c r="L77" i="9"/>
  <c r="L79" i="9"/>
  <c r="L76" i="9" s="1"/>
  <c r="I79" i="9"/>
  <c r="I76" i="9" s="1"/>
  <c r="F63" i="9"/>
  <c r="H44" i="9"/>
  <c r="H62" i="9" s="1"/>
  <c r="I42" i="9"/>
  <c r="I49" i="9"/>
  <c r="I96" i="9" s="1"/>
  <c r="I97" i="9" s="1"/>
  <c r="J49" i="9"/>
  <c r="J96" i="9" s="1"/>
  <c r="J97" i="9" s="1"/>
  <c r="N38" i="9"/>
  <c r="C126" i="9" s="1"/>
  <c r="N108" i="9"/>
  <c r="E132" i="9" s="1"/>
  <c r="H37" i="9"/>
  <c r="H53" i="9" s="1"/>
  <c r="D37" i="9"/>
  <c r="D53" i="9" s="1"/>
  <c r="D77" i="9"/>
  <c r="F82" i="9" s="1"/>
  <c r="F102" i="9" s="1"/>
  <c r="D79" i="9"/>
  <c r="D76" i="9" s="1"/>
  <c r="N66" i="9"/>
  <c r="C123" i="9" s="1"/>
  <c r="N47" i="9"/>
  <c r="N49" i="9" s="1"/>
  <c r="E37" i="8"/>
  <c r="C32" i="8"/>
  <c r="C37" i="8" s="1"/>
  <c r="E36" i="8"/>
  <c r="B39" i="8"/>
  <c r="C39" i="8"/>
  <c r="C44" i="8" s="1"/>
  <c r="B55" i="8"/>
  <c r="D60" i="8" s="1"/>
  <c r="D39" i="8"/>
  <c r="D44" i="8" s="1"/>
  <c r="B43" i="8"/>
  <c r="B51" i="8"/>
  <c r="E31" i="8"/>
  <c r="E32" i="8" s="1"/>
  <c r="D62" i="8" s="1"/>
  <c r="L82" i="9" l="1"/>
  <c r="L102" i="9" s="1"/>
  <c r="E57" i="9"/>
  <c r="E58" i="9" s="1"/>
  <c r="E99" i="9" s="1"/>
  <c r="C87" i="9"/>
  <c r="C89" i="9" s="1"/>
  <c r="D87" i="9"/>
  <c r="F57" i="9"/>
  <c r="F58" i="9" s="1"/>
  <c r="F99" i="9" s="1"/>
  <c r="F104" i="9" s="1"/>
  <c r="K57" i="9"/>
  <c r="K58" i="9" s="1"/>
  <c r="K99" i="9" s="1"/>
  <c r="I87" i="9"/>
  <c r="G57" i="9"/>
  <c r="G58" i="9" s="1"/>
  <c r="G99" i="9" s="1"/>
  <c r="E87" i="9"/>
  <c r="L87" i="9"/>
  <c r="L89" i="9" s="1"/>
  <c r="N57" i="9"/>
  <c r="N58" i="9" s="1"/>
  <c r="I44" i="9"/>
  <c r="I62" i="9" s="1"/>
  <c r="K47" i="9"/>
  <c r="K49" i="9" s="1"/>
  <c r="K96" i="9" s="1"/>
  <c r="K97" i="9" s="1"/>
  <c r="K87" i="9"/>
  <c r="K89" i="9" s="1"/>
  <c r="M57" i="9"/>
  <c r="M58" i="9" s="1"/>
  <c r="M99" i="9" s="1"/>
  <c r="I57" i="9"/>
  <c r="I58" i="9" s="1"/>
  <c r="I99" i="9" s="1"/>
  <c r="G87" i="9"/>
  <c r="B44" i="9"/>
  <c r="B62" i="9" s="1"/>
  <c r="N42" i="9"/>
  <c r="N44" i="9" s="1"/>
  <c r="N62" i="9" s="1"/>
  <c r="N67" i="9" s="1"/>
  <c r="N69" i="9" s="1"/>
  <c r="D47" i="9"/>
  <c r="D49" i="9" s="1"/>
  <c r="D96" i="9" s="1"/>
  <c r="D97" i="9" s="1"/>
  <c r="N63" i="9"/>
  <c r="G67" i="9"/>
  <c r="G69" i="9" s="1"/>
  <c r="G86" i="9"/>
  <c r="G89" i="9" s="1"/>
  <c r="N96" i="9"/>
  <c r="C127" i="9"/>
  <c r="C135" i="9" s="1"/>
  <c r="H86" i="9"/>
  <c r="H67" i="9"/>
  <c r="H69" i="9" s="1"/>
  <c r="C57" i="9"/>
  <c r="C58" i="9" s="1"/>
  <c r="C99" i="9" s="1"/>
  <c r="C104" i="9" s="1"/>
  <c r="C105" i="9" s="1"/>
  <c r="C114" i="9" s="1"/>
  <c r="C117" i="9" s="1"/>
  <c r="D116" i="9" s="1"/>
  <c r="D57" i="9"/>
  <c r="D58" i="9" s="1"/>
  <c r="D99" i="9" s="1"/>
  <c r="D104" i="9" s="1"/>
  <c r="N53" i="9"/>
  <c r="B87" i="9"/>
  <c r="E44" i="9"/>
  <c r="E62" i="9" s="1"/>
  <c r="G47" i="9"/>
  <c r="G49" i="9" s="1"/>
  <c r="G96" i="9" s="1"/>
  <c r="G97" i="9" s="1"/>
  <c r="M67" i="9"/>
  <c r="M69" i="9" s="1"/>
  <c r="M86" i="9"/>
  <c r="M89" i="9" s="1"/>
  <c r="L47" i="9"/>
  <c r="L49" i="9" s="1"/>
  <c r="L96" i="9" s="1"/>
  <c r="L97" i="9" s="1"/>
  <c r="J44" i="9"/>
  <c r="J62" i="9" s="1"/>
  <c r="H57" i="9"/>
  <c r="H58" i="9" s="1"/>
  <c r="H99" i="9" s="1"/>
  <c r="H104" i="9" s="1"/>
  <c r="F87" i="9"/>
  <c r="D86" i="9"/>
  <c r="D89" i="9" s="1"/>
  <c r="D67" i="9"/>
  <c r="D69" i="9" s="1"/>
  <c r="H87" i="9"/>
  <c r="J57" i="9"/>
  <c r="J58" i="9" s="1"/>
  <c r="J99" i="9" s="1"/>
  <c r="J104" i="9" s="1"/>
  <c r="J105" i="9" s="1"/>
  <c r="J114" i="9" s="1"/>
  <c r="H47" i="9"/>
  <c r="H49" i="9" s="1"/>
  <c r="H96" i="9" s="1"/>
  <c r="H97" i="9" s="1"/>
  <c r="F44" i="9"/>
  <c r="F62" i="9" s="1"/>
  <c r="F105" i="9"/>
  <c r="F114" i="9" s="1"/>
  <c r="L57" i="9"/>
  <c r="L58" i="9" s="1"/>
  <c r="L99" i="9" s="1"/>
  <c r="B76" i="9"/>
  <c r="N82" i="9" s="1"/>
  <c r="N79" i="9"/>
  <c r="E134" i="9" s="1"/>
  <c r="B44" i="8"/>
  <c r="D63" i="8"/>
  <c r="E39" i="8"/>
  <c r="H105" i="9" l="1"/>
  <c r="H114" i="9" s="1"/>
  <c r="L104" i="9"/>
  <c r="L105" i="9"/>
  <c r="L114" i="9" s="1"/>
  <c r="N91" i="9"/>
  <c r="N102" i="9"/>
  <c r="E133" i="9"/>
  <c r="D117" i="9"/>
  <c r="E116" i="9" s="1"/>
  <c r="J86" i="9"/>
  <c r="J89" i="9" s="1"/>
  <c r="M91" i="9" s="1"/>
  <c r="M103" i="9" s="1"/>
  <c r="J67" i="9"/>
  <c r="J69" i="9" s="1"/>
  <c r="N70" i="9"/>
  <c r="E131" i="9" s="1"/>
  <c r="M104" i="9"/>
  <c r="M105" i="9" s="1"/>
  <c r="M114" i="9" s="1"/>
  <c r="N99" i="9"/>
  <c r="E129" i="9"/>
  <c r="F86" i="9"/>
  <c r="F89" i="9" s="1"/>
  <c r="I91" i="9" s="1"/>
  <c r="I103" i="9" s="1"/>
  <c r="F67" i="9"/>
  <c r="F69" i="9" s="1"/>
  <c r="E67" i="9"/>
  <c r="E69" i="9" s="1"/>
  <c r="E86" i="9"/>
  <c r="E89" i="9" s="1"/>
  <c r="G91" i="9" s="1"/>
  <c r="G103" i="9" s="1"/>
  <c r="G104" i="9" s="1"/>
  <c r="G105" i="9" s="1"/>
  <c r="G114" i="9" s="1"/>
  <c r="B67" i="9"/>
  <c r="B69" i="9" s="1"/>
  <c r="B86" i="9"/>
  <c r="B89" i="9" s="1"/>
  <c r="E91" i="9" s="1"/>
  <c r="E103" i="9" s="1"/>
  <c r="N103" i="9"/>
  <c r="E130" i="9"/>
  <c r="E104" i="9"/>
  <c r="E105" i="9" s="1"/>
  <c r="E114" i="9" s="1"/>
  <c r="H89" i="9"/>
  <c r="D105" i="9"/>
  <c r="D114" i="9" s="1"/>
  <c r="I104" i="9"/>
  <c r="I105" i="9" s="1"/>
  <c r="I114" i="9" s="1"/>
  <c r="I67" i="9"/>
  <c r="I69" i="9" s="1"/>
  <c r="I86" i="9"/>
  <c r="I89" i="9" s="1"/>
  <c r="E44" i="8"/>
  <c r="B46" i="8"/>
  <c r="C45" i="8" s="1"/>
  <c r="C46" i="8" s="1"/>
  <c r="D45" i="8" s="1"/>
  <c r="D46" i="8" s="1"/>
  <c r="B62" i="8" s="1"/>
  <c r="B63" i="8" s="1"/>
  <c r="E117" i="9" l="1"/>
  <c r="F116" i="9" s="1"/>
  <c r="F117" i="9" s="1"/>
  <c r="G116" i="9" s="1"/>
  <c r="G117" i="9"/>
  <c r="H116" i="9" s="1"/>
  <c r="H117" i="9" s="1"/>
  <c r="I116" i="9" s="1"/>
  <c r="I117" i="9" s="1"/>
  <c r="J116" i="9" s="1"/>
  <c r="J117" i="9" s="1"/>
  <c r="K116" i="9" s="1"/>
  <c r="K91" i="9"/>
  <c r="K103" i="9" s="1"/>
  <c r="K104" i="9" s="1"/>
  <c r="K105" i="9" s="1"/>
  <c r="K114" i="9" s="1"/>
  <c r="N71" i="9"/>
  <c r="E124" i="9" s="1"/>
  <c r="F44" i="6"/>
  <c r="F45" i="6"/>
  <c r="F43" i="6"/>
  <c r="B52" i="6"/>
  <c r="B40" i="6"/>
  <c r="C39" i="6"/>
  <c r="B36" i="6"/>
  <c r="B26" i="6"/>
  <c r="H35" i="3"/>
  <c r="H33" i="3"/>
  <c r="K117" i="9" l="1"/>
  <c r="L116" i="9" s="1"/>
  <c r="L117" i="9" s="1"/>
  <c r="M116" i="9" s="1"/>
  <c r="M117" i="9" s="1"/>
  <c r="E128" i="9" s="1"/>
  <c r="E135" i="9" s="1"/>
  <c r="D39" i="7"/>
  <c r="D38" i="7"/>
  <c r="D37" i="7"/>
  <c r="D36" i="7"/>
  <c r="D34" i="7"/>
  <c r="D33" i="7"/>
  <c r="D32" i="7"/>
  <c r="B39" i="7"/>
  <c r="B33" i="7"/>
  <c r="B32" i="7"/>
  <c r="B31" i="7"/>
  <c r="B34" i="7"/>
  <c r="B27" i="7"/>
  <c r="B26" i="7"/>
  <c r="B25" i="7"/>
  <c r="B24" i="7"/>
  <c r="B23" i="7"/>
  <c r="D13" i="7"/>
  <c r="B13" i="7"/>
  <c r="E53" i="6" l="1"/>
  <c r="G52" i="6"/>
  <c r="E50" i="6"/>
  <c r="E59" i="6" s="1"/>
  <c r="B50" i="6"/>
  <c r="B49" i="6"/>
  <c r="C47" i="6"/>
  <c r="F46" i="6"/>
  <c r="F42" i="6"/>
  <c r="G55" i="6"/>
  <c r="B39" i="6"/>
  <c r="F36" i="6"/>
  <c r="F37" i="6" s="1"/>
  <c r="C41" i="6" s="1"/>
  <c r="G58" i="6" s="1"/>
  <c r="C35" i="6"/>
  <c r="E54" i="6" s="1"/>
  <c r="I35" i="6"/>
  <c r="F35" i="6"/>
  <c r="B35" i="6"/>
  <c r="B37" i="6" s="1"/>
  <c r="E28" i="6"/>
  <c r="B25" i="6"/>
  <c r="B29" i="6" s="1"/>
  <c r="B31" i="6" s="1"/>
  <c r="G51" i="6" s="1"/>
  <c r="G13" i="6"/>
  <c r="E13" i="6"/>
  <c r="B60" i="5"/>
  <c r="H59" i="5"/>
  <c r="B59" i="5"/>
  <c r="B58" i="5"/>
  <c r="B61" i="5" s="1"/>
  <c r="F50" i="5" s="1"/>
  <c r="B52" i="5"/>
  <c r="H51" i="5"/>
  <c r="H49" i="5"/>
  <c r="H48" i="5"/>
  <c r="F48" i="5"/>
  <c r="B47" i="5"/>
  <c r="B48" i="5" s="1"/>
  <c r="B46" i="5"/>
  <c r="G42" i="5"/>
  <c r="B42" i="5"/>
  <c r="G41" i="5"/>
  <c r="G40" i="5"/>
  <c r="B40" i="5"/>
  <c r="C38" i="5"/>
  <c r="H54" i="5" s="1"/>
  <c r="B38" i="5"/>
  <c r="C35" i="5"/>
  <c r="F51" i="5" s="1"/>
  <c r="G34" i="5"/>
  <c r="C40" i="5" s="1"/>
  <c r="B34" i="5"/>
  <c r="B36" i="5" s="1"/>
  <c r="G33" i="5"/>
  <c r="G16" i="5"/>
  <c r="E16" i="5"/>
  <c r="B11" i="5"/>
  <c r="B13" i="5" s="1"/>
  <c r="B7" i="5"/>
  <c r="C42" i="6" l="1"/>
  <c r="G57" i="6" s="1"/>
  <c r="G35" i="5"/>
  <c r="G36" i="5" s="1"/>
  <c r="H58" i="5" s="1"/>
  <c r="G43" i="5"/>
  <c r="G56" i="6"/>
  <c r="C43" i="6"/>
  <c r="F38" i="6"/>
  <c r="B41" i="6" s="1"/>
  <c r="B44" i="6" s="1"/>
  <c r="B45" i="6" s="1"/>
  <c r="B51" i="6" s="1"/>
  <c r="B53" i="6" s="1"/>
  <c r="G54" i="6" s="1"/>
  <c r="I38" i="6"/>
  <c r="B42" i="6" s="1"/>
  <c r="F60" i="5"/>
  <c r="C41" i="5"/>
  <c r="H56" i="5"/>
  <c r="B14" i="5"/>
  <c r="H55" i="5" s="1"/>
  <c r="H57" i="5"/>
  <c r="B49" i="5"/>
  <c r="G59" i="6" l="1"/>
  <c r="G37" i="5"/>
  <c r="B39" i="5" s="1"/>
  <c r="B43" i="5" s="1"/>
  <c r="B44" i="5" s="1"/>
  <c r="B50" i="5" s="1"/>
  <c r="B53" i="5" s="1"/>
  <c r="B54" i="5" s="1"/>
  <c r="B15" i="5"/>
  <c r="H50" i="5" s="1"/>
  <c r="B58" i="3"/>
  <c r="B57" i="3"/>
  <c r="E56" i="3"/>
  <c r="E55" i="3"/>
  <c r="B55" i="3"/>
  <c r="E54" i="3"/>
  <c r="B54" i="3"/>
  <c r="B53" i="3"/>
  <c r="B52" i="3"/>
  <c r="E50" i="3"/>
  <c r="E49" i="3"/>
  <c r="E48" i="3"/>
  <c r="B48" i="3"/>
  <c r="B47" i="3"/>
  <c r="B46" i="3"/>
  <c r="B45" i="3"/>
  <c r="H42" i="3"/>
  <c r="B41" i="3"/>
  <c r="B40" i="3"/>
  <c r="B39" i="3"/>
  <c r="F38" i="3"/>
  <c r="B38" i="3"/>
  <c r="F36" i="3"/>
  <c r="B34" i="3"/>
  <c r="B33" i="3"/>
  <c r="B35" i="3" s="1"/>
  <c r="F33" i="3" s="1"/>
  <c r="B32" i="3"/>
  <c r="G16" i="3"/>
  <c r="E16" i="3"/>
  <c r="B6" i="3"/>
  <c r="B13" i="3" s="1"/>
  <c r="B16" i="3" s="1"/>
  <c r="H34" i="3" l="1"/>
  <c r="H39" i="3"/>
  <c r="E51" i="3"/>
  <c r="H41" i="3" s="1"/>
  <c r="E57" i="3"/>
  <c r="H43" i="3" s="1"/>
  <c r="B49" i="3"/>
  <c r="H38" i="3" s="1"/>
  <c r="B42" i="3"/>
  <c r="F37" i="3" s="1"/>
  <c r="F44" i="3" s="1"/>
  <c r="H44" i="3" s="1"/>
  <c r="B56" i="3"/>
  <c r="B59" i="3" s="1"/>
  <c r="H40" i="3" s="1"/>
  <c r="C53" i="5"/>
  <c r="H53" i="5" s="1"/>
  <c r="H60" i="5" s="1"/>
  <c r="H37" i="3" l="1"/>
</calcChain>
</file>

<file path=xl/sharedStrings.xml><?xml version="1.0" encoding="utf-8"?>
<sst xmlns="http://schemas.openxmlformats.org/spreadsheetml/2006/main" count="694" uniqueCount="435">
  <si>
    <t>Resultatbudsjett for 20x1  (i 1 000 kr) :</t>
  </si>
  <si>
    <t>Balanseprognose pr. 31.12.20x0  (i 1 000 kr) :</t>
  </si>
  <si>
    <t>Salgsinntekt</t>
  </si>
  <si>
    <t>Vareforbruk</t>
  </si>
  <si>
    <t>Anleggsm</t>
  </si>
  <si>
    <t>Egenkap</t>
  </si>
  <si>
    <t>Bruttofortj</t>
  </si>
  <si>
    <t>Lang gj</t>
  </si>
  <si>
    <t>Lønn (eks a.g.avg.)</t>
  </si>
  <si>
    <t>Andre fordr</t>
  </si>
  <si>
    <t>Arbeidsgiveravgift</t>
  </si>
  <si>
    <t>Varebeh</t>
  </si>
  <si>
    <t>Kassekr</t>
  </si>
  <si>
    <t>Kontorhold</t>
  </si>
  <si>
    <t>Kundefordr</t>
  </si>
  <si>
    <t>Lev.gjeld</t>
  </si>
  <si>
    <t>Salgskostnader</t>
  </si>
  <si>
    <t>Kasse, bank</t>
  </si>
  <si>
    <t>Skattegj</t>
  </si>
  <si>
    <t>Andre adm.kostn</t>
  </si>
  <si>
    <t>Sk mva</t>
  </si>
  <si>
    <t>Avskrivninger</t>
  </si>
  <si>
    <t>Sk. a.g.avg</t>
  </si>
  <si>
    <t>Driftsresultat</t>
  </si>
  <si>
    <t>Utbyttegj</t>
  </si>
  <si>
    <t>Renteinntekter</t>
  </si>
  <si>
    <t>Sk feriep</t>
  </si>
  <si>
    <t>Rentekostnader</t>
  </si>
  <si>
    <t>Annen KG</t>
  </si>
  <si>
    <t>Budsj. res f. skatt</t>
  </si>
  <si>
    <t>EI</t>
  </si>
  <si>
    <t>EK og GJ</t>
  </si>
  <si>
    <t>Andre opplysninger :</t>
  </si>
  <si>
    <t>Salgsinnbetalinger</t>
  </si>
  <si>
    <t xml:space="preserve">Mva. </t>
  </si>
  <si>
    <t>Nytt lang. lån i 20x1</t>
  </si>
  <si>
    <t>(på varekjøp, kontor-, salgs- og adm.kostnader)</t>
  </si>
  <si>
    <t>Utbetalinger :</t>
  </si>
  <si>
    <t>Kontor, salgs- og adm.kostn. registreres som KG</t>
  </si>
  <si>
    <t>Varekjøp</t>
  </si>
  <si>
    <t>Ingen investeringsavgift</t>
  </si>
  <si>
    <t>Lønn inkl.skatt</t>
  </si>
  <si>
    <t>Intet utbytte for 20x1</t>
  </si>
  <si>
    <t>Kontor, S og A kost.</t>
  </si>
  <si>
    <t>Ingen endringer i varelager</t>
  </si>
  <si>
    <t>Mva</t>
  </si>
  <si>
    <t>Budsj. nedg. i kasse,bank for per.:</t>
  </si>
  <si>
    <t>Investeringer</t>
  </si>
  <si>
    <t>Budsj. avsetn. for feriep. i perioden:</t>
  </si>
  <si>
    <t>Avdrag</t>
  </si>
  <si>
    <t>Anleggsmidler:</t>
  </si>
  <si>
    <t>IB</t>
  </si>
  <si>
    <t xml:space="preserve"> + Invest (eks mva)</t>
  </si>
  <si>
    <t xml:space="preserve"> - Avskrivning</t>
  </si>
  <si>
    <t>Tilbakeh oversk</t>
  </si>
  <si>
    <t>UB</t>
  </si>
  <si>
    <t>Kundefordringer:</t>
  </si>
  <si>
    <t>KK (saldert)</t>
  </si>
  <si>
    <t>Kasse, bnk</t>
  </si>
  <si>
    <t xml:space="preserve"> + S.innt. (inkl mva)</t>
  </si>
  <si>
    <t>Skattegjeld</t>
  </si>
  <si>
    <t xml:space="preserve"> - Innbet. fordringer</t>
  </si>
  <si>
    <t>Skyldig mva</t>
  </si>
  <si>
    <t xml:space="preserve"> - Salgsinnbet</t>
  </si>
  <si>
    <t>Sk. arb.g.avg</t>
  </si>
  <si>
    <t>Leverandørgjeld :</t>
  </si>
  <si>
    <t xml:space="preserve"> + varefor. (inkl mva)</t>
  </si>
  <si>
    <t xml:space="preserve"> - utbet varekjøp</t>
  </si>
  <si>
    <t>Arbeidsgiveravgift :</t>
  </si>
  <si>
    <t xml:space="preserve"> - betal lev.gjeld</t>
  </si>
  <si>
    <t xml:space="preserve"> + a.g.avg res.regn</t>
  </si>
  <si>
    <t xml:space="preserve"> - utbet a.g.avg</t>
  </si>
  <si>
    <t>Merverdiavgift :</t>
  </si>
  <si>
    <t>mva. salg (utg)</t>
  </si>
  <si>
    <t>mva. varekjøp (inng)</t>
  </si>
  <si>
    <t xml:space="preserve"> </t>
  </si>
  <si>
    <t>Annen KG :</t>
  </si>
  <si>
    <t>mva. kntr s&amp;a  (inng)</t>
  </si>
  <si>
    <t>mva. invester  (inng)</t>
  </si>
  <si>
    <t xml:space="preserve"> + kostn res.regn</t>
  </si>
  <si>
    <t>Nto utg mva</t>
  </si>
  <si>
    <t xml:space="preserve"> - utbet </t>
  </si>
  <si>
    <t xml:space="preserve"> betalt mva</t>
  </si>
  <si>
    <t>Oppgave 17.15</t>
  </si>
  <si>
    <t>Salgsinntekter</t>
  </si>
  <si>
    <t>Aksjekap</t>
  </si>
  <si>
    <t xml:space="preserve"> - varekostnad</t>
  </si>
  <si>
    <t>Annen EK</t>
  </si>
  <si>
    <t>Brtofortjeneste</t>
  </si>
  <si>
    <t>Varelager</t>
  </si>
  <si>
    <t>Lang gjeld</t>
  </si>
  <si>
    <t xml:space="preserve"> - Bet. driftskostn</t>
  </si>
  <si>
    <t>Kundef</t>
  </si>
  <si>
    <t xml:space="preserve"> - Lønn</t>
  </si>
  <si>
    <t>Kontanter</t>
  </si>
  <si>
    <t>Kassekred</t>
  </si>
  <si>
    <t xml:space="preserve"> - Avskrivninger</t>
  </si>
  <si>
    <t>Skyld skatt</t>
  </si>
  <si>
    <t xml:space="preserve"> - rentekostn</t>
  </si>
  <si>
    <t>Skyld mva</t>
  </si>
  <si>
    <t>Res. før skatt</t>
  </si>
  <si>
    <t>Sk. arbg.av</t>
  </si>
  <si>
    <t xml:space="preserve"> - skatt</t>
  </si>
  <si>
    <t>Sk. feriep</t>
  </si>
  <si>
    <t>Budsj res e skatt</t>
  </si>
  <si>
    <t>Sk. renter</t>
  </si>
  <si>
    <t>Sum EI</t>
  </si>
  <si>
    <t>Sum EK og GJ</t>
  </si>
  <si>
    <t>Skattesats</t>
  </si>
  <si>
    <t xml:space="preserve">Mva betales på bet. driftskostnader </t>
  </si>
  <si>
    <t>Limit KK</t>
  </si>
  <si>
    <t>som forfaller i samme mnd som de påløper.</t>
  </si>
  <si>
    <t>Kundekred (dg)</t>
  </si>
  <si>
    <t>Ingen investeringsavgift.</t>
  </si>
  <si>
    <t>Leverandørkred (dg)</t>
  </si>
  <si>
    <t>Varer best. og levert i januar (eksl mva, kr) :</t>
  </si>
  <si>
    <t>Budsj. rentekostnader for januar forfaller i april</t>
  </si>
  <si>
    <t>Skyld. mva pr. 31.12. forfaller 10.02</t>
  </si>
  <si>
    <t>Skyld. arb.giv.avg. for 6. termin som forfaller 15.01:</t>
  </si>
  <si>
    <t>Feriepenger</t>
  </si>
  <si>
    <t>Renter, bet 12. jan</t>
  </si>
  <si>
    <t>Kontantbeholdningen utlignes mot KK</t>
  </si>
  <si>
    <t>Avdrag, bet 12. jan</t>
  </si>
  <si>
    <t>a)  Likviditetsbudsjett for januar</t>
  </si>
  <si>
    <t>Lønnsutbetaling :</t>
  </si>
  <si>
    <t>Innbetalinger fra drift</t>
  </si>
  <si>
    <t>Jan</t>
  </si>
  <si>
    <t>Lønnskostnad</t>
  </si>
  <si>
    <t>Kundefordr. pr. 1. jan</t>
  </si>
  <si>
    <t xml:space="preserve"> - arbeidsgiveravg.</t>
  </si>
  <si>
    <t>Salgsinnbet (inkl mva)</t>
  </si>
  <si>
    <t>Arbeidsgiveravg.grunnlag</t>
  </si>
  <si>
    <t>Sum innbet. fra drift</t>
  </si>
  <si>
    <t xml:space="preserve"> - feriepenger</t>
  </si>
  <si>
    <t>Utbetalinger fra drift</t>
  </si>
  <si>
    <t>Feriepengegrunnlag</t>
  </si>
  <si>
    <t>Utbet leverand (inkl mva)</t>
  </si>
  <si>
    <t>Lønn</t>
  </si>
  <si>
    <t>Merverdiavg.:</t>
  </si>
  <si>
    <t>Arbeidsgiveravg.</t>
  </si>
  <si>
    <t>Mva på salg januar (utg.)</t>
  </si>
  <si>
    <t>Mva.</t>
  </si>
  <si>
    <t>Mva på dr.utg jan (inn)</t>
  </si>
  <si>
    <t>Bet. driftskostn</t>
  </si>
  <si>
    <t>Mva på innkjøp jan (inn)</t>
  </si>
  <si>
    <t>Sum utbet. fra drift</t>
  </si>
  <si>
    <t>Skyld mva for jan pr. 31.01</t>
  </si>
  <si>
    <t>Likv.resultat fra drift</t>
  </si>
  <si>
    <t>Finansielle utbetalinger</t>
  </si>
  <si>
    <t>Avdrag på lån</t>
  </si>
  <si>
    <t>Renter</t>
  </si>
  <si>
    <t>Sum finans utbetalinger</t>
  </si>
  <si>
    <t>Likv.res fra fin. trans.</t>
  </si>
  <si>
    <t>Innbet.overskudd</t>
  </si>
  <si>
    <t>Resultat</t>
  </si>
  <si>
    <t>IB KK og kontanter</t>
  </si>
  <si>
    <t xml:space="preserve">UB KK </t>
  </si>
  <si>
    <t xml:space="preserve">Disp. likv. </t>
  </si>
  <si>
    <t>Varelager i balansebudsjett:</t>
  </si>
  <si>
    <t xml:space="preserve"> + varekjøp (jan)</t>
  </si>
  <si>
    <t xml:space="preserve"> - vareforbruk (jan)</t>
  </si>
  <si>
    <t>Resultatbudsjett for januar 20x1</t>
  </si>
  <si>
    <t>Balanse pr. 31.12.20x0</t>
  </si>
  <si>
    <t>Alle ansatte ha månedslønn</t>
  </si>
  <si>
    <t>(Opplysninger fra oppgaveteksten kommer først)</t>
  </si>
  <si>
    <t>Salgsinnt. jan. (budsj)</t>
  </si>
  <si>
    <t>Balanseprognose pr. 31.12.20x7</t>
  </si>
  <si>
    <t>Kred.tid salg (dager)</t>
  </si>
  <si>
    <t>AN midler</t>
  </si>
  <si>
    <t>Aksekap</t>
  </si>
  <si>
    <t>varer best. (lev 10.jan) (kr)</t>
  </si>
  <si>
    <t>Kred.tid leverand (dager)</t>
  </si>
  <si>
    <t>Langs. GJ</t>
  </si>
  <si>
    <t>Varelager pr.3101x8 (budsj)</t>
  </si>
  <si>
    <t>Mva forfaller 10.02.x8</t>
  </si>
  <si>
    <t>Arb.g.avg. forfaller 15.01.x8</t>
  </si>
  <si>
    <t>Lønnskostnad (budsj)</t>
  </si>
  <si>
    <t>Skyldig mva.</t>
  </si>
  <si>
    <t>Sk. arb.g.av</t>
  </si>
  <si>
    <t>Skyld f.peng</t>
  </si>
  <si>
    <t>Lin avskr jan (budsj)</t>
  </si>
  <si>
    <t>Andre dr.kostn jan (budsj)</t>
  </si>
  <si>
    <t xml:space="preserve">Mva andre dr.kostn </t>
  </si>
  <si>
    <t>Renter jan (forfall 20. jan)</t>
  </si>
  <si>
    <t>Avdrag jan (forfall 20. jan)</t>
  </si>
  <si>
    <t>Andre fordr. forfaller 30.06.x8</t>
  </si>
  <si>
    <t>Limit Kassekred.</t>
  </si>
  <si>
    <t>Kontantbeholdn. utlignes mot KK  01.01 og 31.01</t>
  </si>
  <si>
    <t>a) Resultatbudsjett januar 20x8</t>
  </si>
  <si>
    <t>Vareforbruk :</t>
  </si>
  <si>
    <t xml:space="preserve"> - vareforbruk</t>
  </si>
  <si>
    <t xml:space="preserve"> - driftskostnader</t>
  </si>
  <si>
    <t>varekjøp</t>
  </si>
  <si>
    <t xml:space="preserve"> - lønn</t>
  </si>
  <si>
    <t xml:space="preserve"> - avskrivninger</t>
  </si>
  <si>
    <t>vareforbruk</t>
  </si>
  <si>
    <t xml:space="preserve"> - rentekostnad</t>
  </si>
  <si>
    <t>Budsj. resultat</t>
  </si>
  <si>
    <t>b) Likviditetsbudsjett</t>
  </si>
  <si>
    <t>Lønn og feriepenger:</t>
  </si>
  <si>
    <t>Innbetalinger fra drift:</t>
  </si>
  <si>
    <t>Lønnskostn</t>
  </si>
  <si>
    <t>Arb.giv.avg. Feriep år 20x7</t>
  </si>
  <si>
    <t>Kundefordringer</t>
  </si>
  <si>
    <t>arb.g.avg</t>
  </si>
  <si>
    <t>betales juli 20x8</t>
  </si>
  <si>
    <t>arb.giv.avg.gr.lag</t>
  </si>
  <si>
    <t>feriepeng</t>
  </si>
  <si>
    <t>Arb.giv.avg. Lønn nov/des 20x7</t>
  </si>
  <si>
    <t>Utbetalinger fra drift:</t>
  </si>
  <si>
    <t>Lønn ut i jan</t>
  </si>
  <si>
    <t>betales jan 20x8</t>
  </si>
  <si>
    <t>Betalt leverandørgjeld</t>
  </si>
  <si>
    <t>Bet andre dr.kostn. inkl. mva</t>
  </si>
  <si>
    <t>Merverdiavgift:</t>
  </si>
  <si>
    <t>Bet arbeidsgiveravg.</t>
  </si>
  <si>
    <t>IB, sk 3112x7</t>
  </si>
  <si>
    <t xml:space="preserve"> Merverdiavgift</t>
  </si>
  <si>
    <t>Utg. jan (salg)</t>
  </si>
  <si>
    <t>Inng jan (dr.kost)</t>
  </si>
  <si>
    <t>Likviditetsresultat fra drift</t>
  </si>
  <si>
    <t>Inng jan (varekjøp)</t>
  </si>
  <si>
    <t>UB, sk 3101x8</t>
  </si>
  <si>
    <t>Avdrag lån</t>
  </si>
  <si>
    <t>(UB lån)</t>
  </si>
  <si>
    <t>Renteutgifter</t>
  </si>
  <si>
    <t>Sum finansielle utbetalinger</t>
  </si>
  <si>
    <t>Budsjettert Balanse pr. 31.01.20x8</t>
  </si>
  <si>
    <t>Likv.resultat fra fin. trans</t>
  </si>
  <si>
    <t>Innbetalingoverskudd</t>
  </si>
  <si>
    <t>IB  KK etter korr. for kontanter</t>
  </si>
  <si>
    <t>UB KK</t>
  </si>
  <si>
    <t>Oppgave 17.16</t>
  </si>
  <si>
    <t>Oppgave 17.12</t>
  </si>
  <si>
    <t>Eiendeler</t>
  </si>
  <si>
    <t>Kontorlokaler</t>
  </si>
  <si>
    <t>Egenkapital:</t>
  </si>
  <si>
    <t>Utstyr</t>
  </si>
  <si>
    <t>Aksjekapital</t>
  </si>
  <si>
    <t>Kasse</t>
  </si>
  <si>
    <t>Sum egenkapital</t>
  </si>
  <si>
    <t>Gjeld:</t>
  </si>
  <si>
    <t>Lån i lokal bank</t>
  </si>
  <si>
    <t>Kortsiktig gjeld</t>
  </si>
  <si>
    <t>Sum gjeld</t>
  </si>
  <si>
    <t>Sum</t>
  </si>
  <si>
    <t>Balanse i slutten av oktober 20x5 for Sigurd og Fruen AS</t>
  </si>
  <si>
    <t>Opptjent EK</t>
  </si>
  <si>
    <t>EK og gjeld</t>
  </si>
  <si>
    <t>Kundekreditt</t>
  </si>
  <si>
    <t xml:space="preserve"> dager</t>
  </si>
  <si>
    <t>Nedbet. PC</t>
  </si>
  <si>
    <t xml:space="preserve"> per måned</t>
  </si>
  <si>
    <t>Div. utbet. i nov</t>
  </si>
  <si>
    <t>Resultat i nov</t>
  </si>
  <si>
    <t>Se bort fra avskrivninger og mva.</t>
  </si>
  <si>
    <t>Balanse i slutten av november 20x5 for Sigurd og Fruen AS</t>
  </si>
  <si>
    <t>Kasse, IB</t>
  </si>
  <si>
    <t xml:space="preserve"> - nedbet. PC og lån</t>
  </si>
  <si>
    <t xml:space="preserve"> - div. utbetalinger</t>
  </si>
  <si>
    <t xml:space="preserve"> + innbet.fra kunder</t>
  </si>
  <si>
    <t>Kasse, UB</t>
  </si>
  <si>
    <t>Budsj. salg nov.</t>
  </si>
  <si>
    <t>Oppgave 17.17</t>
  </si>
  <si>
    <t xml:space="preserve">  Balansebudsjett pr. 31.12.20x1  (i 1 000 kr) :</t>
  </si>
  <si>
    <t xml:space="preserve"> b) Balansebudsjett pr. 31.01 :</t>
  </si>
  <si>
    <t>27% av resultatet avsettes som skattegjeld</t>
  </si>
  <si>
    <t xml:space="preserve"> Merverdiavg.</t>
  </si>
  <si>
    <t>Bank</t>
  </si>
  <si>
    <t>d) Balanse per 31. mars</t>
  </si>
  <si>
    <t xml:space="preserve"> Resultat</t>
  </si>
  <si>
    <t xml:space="preserve"> - renter</t>
  </si>
  <si>
    <t xml:space="preserve"> - indirekte kostnader</t>
  </si>
  <si>
    <t xml:space="preserve"> Salg</t>
  </si>
  <si>
    <t>1. kvartal</t>
  </si>
  <si>
    <t>c) Resultatbudsjett</t>
  </si>
  <si>
    <t xml:space="preserve"> Bankkonto UB</t>
  </si>
  <si>
    <t xml:space="preserve"> Bankkonto IB</t>
  </si>
  <si>
    <t>INNBETALINGSOVERSKUDD</t>
  </si>
  <si>
    <t>Likv.res fin trans</t>
  </si>
  <si>
    <t xml:space="preserve"> Betaling maskin</t>
  </si>
  <si>
    <t xml:space="preserve"> Renter</t>
  </si>
  <si>
    <t xml:space="preserve"> Avdrag pantelån</t>
  </si>
  <si>
    <t>Likv.res drift</t>
  </si>
  <si>
    <t xml:space="preserve"> Indirekte kostnader</t>
  </si>
  <si>
    <t>mar</t>
  </si>
  <si>
    <t>feb</t>
  </si>
  <si>
    <t>jan</t>
  </si>
  <si>
    <t xml:space="preserve"> Varekjøp mars</t>
  </si>
  <si>
    <t xml:space="preserve"> Varekjøp feb</t>
  </si>
  <si>
    <t xml:space="preserve"> Varekjøp jan</t>
  </si>
  <si>
    <t>Leverandørgjeld IB</t>
  </si>
  <si>
    <t xml:space="preserve"> Utbetaling til leverandører</t>
  </si>
  <si>
    <t xml:space="preserve"> av salget</t>
  </si>
  <si>
    <t xml:space="preserve"> Varekostnad utgjør</t>
  </si>
  <si>
    <t xml:space="preserve"> Salg mars</t>
  </si>
  <si>
    <t xml:space="preserve"> Salg feb</t>
  </si>
  <si>
    <t xml:space="preserve"> Salg jan</t>
  </si>
  <si>
    <t>Kundefordringer IB</t>
  </si>
  <si>
    <t xml:space="preserve"> Innbetaling fra kunder</t>
  </si>
  <si>
    <t>a) Budsjett:</t>
  </si>
  <si>
    <t xml:space="preserve"> i desember 2013 (kortsikt. gjeld):</t>
  </si>
  <si>
    <t>Betaling i jan  for maskin som ble kjøpt</t>
  </si>
  <si>
    <t xml:space="preserve"> Sum EK + Gjeld</t>
  </si>
  <si>
    <t>Sum eiendeler</t>
  </si>
  <si>
    <t>Renter, betales i mars</t>
  </si>
  <si>
    <t xml:space="preserve"> Leverandørgjeld</t>
  </si>
  <si>
    <t>Avdrag pantelån, betales i mars</t>
  </si>
  <si>
    <t xml:space="preserve"> Pantelån</t>
  </si>
  <si>
    <t xml:space="preserve"> Opptjent EK</t>
  </si>
  <si>
    <t>Varebeholdning</t>
  </si>
  <si>
    <t>Avskrivninger 1. kvartal 2014</t>
  </si>
  <si>
    <t xml:space="preserve"> Aksjekapital</t>
  </si>
  <si>
    <t>Anleggsmidler</t>
  </si>
  <si>
    <t xml:space="preserve"> Ingen lagerendringer</t>
  </si>
  <si>
    <t xml:space="preserve"> Andel av varekjøp kontant:</t>
  </si>
  <si>
    <t xml:space="preserve"> Andel av varekjøp med 1 mnd kreditt:</t>
  </si>
  <si>
    <t xml:space="preserve"> Andel av salg kontant:</t>
  </si>
  <si>
    <t xml:space="preserve"> Indir kostn ekskl avskr:</t>
  </si>
  <si>
    <t xml:space="preserve"> Andel av salget med 1 mnd kreditt:</t>
  </si>
  <si>
    <t xml:space="preserve"> Salg:</t>
  </si>
  <si>
    <t xml:space="preserve"> Avanse:</t>
  </si>
  <si>
    <t>Skylde feriep</t>
  </si>
  <si>
    <t>Sk. arbsg.avg.</t>
  </si>
  <si>
    <t>Skyldig skatt</t>
  </si>
  <si>
    <t>Leverandørgj</t>
  </si>
  <si>
    <t>Kassekreditt</t>
  </si>
  <si>
    <t>Pantelån</t>
  </si>
  <si>
    <t>Balanseprognose pr. 31.12.2012</t>
  </si>
  <si>
    <t xml:space="preserve">  UB Kassekreditt</t>
  </si>
  <si>
    <t xml:space="preserve">  IB Kassekreditt</t>
  </si>
  <si>
    <t xml:space="preserve"> Investering </t>
  </si>
  <si>
    <t>Betaling skatt for 2012</t>
  </si>
  <si>
    <t>Betaling utbytte</t>
  </si>
  <si>
    <t>Betaling renter</t>
  </si>
  <si>
    <t xml:space="preserve"> Betalt merverdiavgift</t>
  </si>
  <si>
    <t>Betalt arbeidsgiveravgift</t>
  </si>
  <si>
    <t>Betalt leverandører/lev.gjeld</t>
  </si>
  <si>
    <t>Salgsinnbetalinger/Kundefordr</t>
  </si>
  <si>
    <t xml:space="preserve"> UB</t>
  </si>
  <si>
    <t>des</t>
  </si>
  <si>
    <t>nov</t>
  </si>
  <si>
    <t>okt</t>
  </si>
  <si>
    <t>sep</t>
  </si>
  <si>
    <t>aug</t>
  </si>
  <si>
    <t>jul</t>
  </si>
  <si>
    <t>jun</t>
  </si>
  <si>
    <t>mai</t>
  </si>
  <si>
    <t>apr</t>
  </si>
  <si>
    <t>Likviditesbudsjett i 1 000 kr</t>
  </si>
  <si>
    <t>Betling av mva</t>
  </si>
  <si>
    <t>Nto skyldig mva</t>
  </si>
  <si>
    <t>Inngående mva (på driftskostn)</t>
  </si>
  <si>
    <t>Inngående mva (varekjøp)</t>
  </si>
  <si>
    <t>Utgående mva (på salget)</t>
  </si>
  <si>
    <t>Budsjett for mva. i 1 000 kr</t>
  </si>
  <si>
    <t xml:space="preserve"> Betaling av arbeidsgiveravgift</t>
  </si>
  <si>
    <t>Lønn utbetalt i denne måneden</t>
  </si>
  <si>
    <t>Grunnlag for arbeidsgiveravgift</t>
  </si>
  <si>
    <t>Arbeidsgiveravgift på lønn</t>
  </si>
  <si>
    <t>Arbeidsgiveravgift på feriepenger</t>
  </si>
  <si>
    <t>Lønnskostnader</t>
  </si>
  <si>
    <t>Lønnsbudsjett i 1 000 kr</t>
  </si>
  <si>
    <t>Budsjettert resultat etter skatt</t>
  </si>
  <si>
    <t xml:space="preserve">Skatt </t>
  </si>
  <si>
    <t>Budsjettert resultat</t>
  </si>
  <si>
    <t xml:space="preserve"> - Rentekostnader</t>
  </si>
  <si>
    <t xml:space="preserve"> - Andre driftskostnader</t>
  </si>
  <si>
    <t xml:space="preserve"> - Lønnskostnader</t>
  </si>
  <si>
    <t xml:space="preserve"> - Vareforbruk</t>
  </si>
  <si>
    <t>Totalt</t>
  </si>
  <si>
    <t>Resultatbudsjett i 1 000 kr</t>
  </si>
  <si>
    <t>Totalt:</t>
  </si>
  <si>
    <t>Utbetalinger varer</t>
  </si>
  <si>
    <t>Leverandørgjeld fra 2012</t>
  </si>
  <si>
    <t>Leverandørgjeld UB</t>
  </si>
  <si>
    <t>Utbetalingsbudsjett i 1 000 kr (inkl mva)</t>
  </si>
  <si>
    <t>Innkjøp varer</t>
  </si>
  <si>
    <t>Innkjøpsbudsjett i 1 000 kr</t>
  </si>
  <si>
    <t xml:space="preserve">Innbetalinger fra andre </t>
  </si>
  <si>
    <t xml:space="preserve">Innbetalinger fra AS Oppgitt </t>
  </si>
  <si>
    <t>Kundefordringer UB</t>
  </si>
  <si>
    <t>Innbetalingsbudsjett i 1 000 kr (inkl mva)</t>
  </si>
  <si>
    <t>Salg til andre (betaler pr 30 dg)</t>
  </si>
  <si>
    <t>Salg til AS Oppgitt (betaler pr 60 dg)</t>
  </si>
  <si>
    <t>Salgbudsjett i 1 000 kr</t>
  </si>
  <si>
    <t>Varelager UB</t>
  </si>
  <si>
    <t xml:space="preserve">  Lager UB i 1 000 kr:</t>
  </si>
  <si>
    <t>Antall innkjøp (betales pr 45 dg)</t>
  </si>
  <si>
    <t xml:space="preserve">Ant til andre </t>
  </si>
  <si>
    <t xml:space="preserve">Ant til AS Oppgitt </t>
  </si>
  <si>
    <t>Varelager IB</t>
  </si>
  <si>
    <t>Budsjett: antall enheter</t>
  </si>
  <si>
    <t>Avdrag på pantelån, betales i aug 2013</t>
  </si>
  <si>
    <t>Renter betales 1. jan og 1. juli</t>
  </si>
  <si>
    <t>Rentekostn per mnd</t>
  </si>
  <si>
    <t>Andre dr.kostn per måned (ekskl mva)</t>
  </si>
  <si>
    <t>Arbeidsgiveravgift som skal betales 15. januar:</t>
  </si>
  <si>
    <t>Avskrivninger nytt AM (per mnd)</t>
  </si>
  <si>
    <t>Avskrivninger gamle AM (per mnd)</t>
  </si>
  <si>
    <t xml:space="preserve"> og som derfor skal betales 15. juli :</t>
  </si>
  <si>
    <t>Investering i august</t>
  </si>
  <si>
    <t xml:space="preserve">Arbeidsgiveravgift som hører til skyldige feriepenger </t>
  </si>
  <si>
    <t>Lønnskostnader per mnd resten av året</t>
  </si>
  <si>
    <t>Lønnskostnader per mnd i april-juni</t>
  </si>
  <si>
    <t>Arb.giv.avg for jan-feb forfaller 15.03, osv.</t>
  </si>
  <si>
    <t>Mva for jan-feb forfaller 10.04, osv.</t>
  </si>
  <si>
    <t>Skyldig utbytte</t>
  </si>
  <si>
    <t>Innkjøpspris Solaris (ekskl mva)</t>
  </si>
  <si>
    <t>Salgspris Solaris (ekskl mva)</t>
  </si>
  <si>
    <t>UB varelager hver måned (antall)</t>
  </si>
  <si>
    <t>Skyld. renter</t>
  </si>
  <si>
    <t>Kreditt-tid leverandører (dg)</t>
  </si>
  <si>
    <t>Kreditt-tid for andre kunder (dg)</t>
  </si>
  <si>
    <t>Kreditt-tid for AS Oppgitt (dg)</t>
  </si>
  <si>
    <t>Lager IB (antall)</t>
  </si>
  <si>
    <t>Ant. enh pr mnd til andre okt-des</t>
  </si>
  <si>
    <t xml:space="preserve"> nov-des</t>
  </si>
  <si>
    <t>Ant. enh pr mnd til andre juli-sept</t>
  </si>
  <si>
    <t xml:space="preserve"> sept-okt</t>
  </si>
  <si>
    <t>Ant. enh pr mnd til andre april-juni</t>
  </si>
  <si>
    <t xml:space="preserve"> juli-aug</t>
  </si>
  <si>
    <t>Ant. enh pr mnd til andre jan-mars</t>
  </si>
  <si>
    <t xml:space="preserve"> mai-juni</t>
  </si>
  <si>
    <t>Ant. enh pr mnd til AS Oppgitt</t>
  </si>
  <si>
    <t xml:space="preserve"> mars-april</t>
  </si>
  <si>
    <t xml:space="preserve"> jan-feb</t>
  </si>
  <si>
    <t xml:space="preserve"> arbeidsgiveravgift</t>
  </si>
  <si>
    <t xml:space="preserve"> mva.</t>
  </si>
  <si>
    <t>Termin</t>
  </si>
  <si>
    <t>Forfall</t>
  </si>
  <si>
    <t>Skatt</t>
  </si>
  <si>
    <t>Oppgave 17.18</t>
  </si>
  <si>
    <t>Oppgave 17.19</t>
  </si>
  <si>
    <t xml:space="preserve"> Beløp i 1 000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</si>
</sst>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0.0\ %"/>
    <numFmt numFmtId="166" formatCode="&quot;kr&quot;\ #,##0"/>
    <numFmt numFmtId="168" formatCode="_ * #,##0_ ;_ * \-#,##0_ ;_ * &quot;-&quot;??_ ;_ @_ "/>
    <numFmt numFmtId="169" formatCode="_ * #,##0.000_ ;_ * \-#,##0.000_ ;_ * &quot;-&quot;_ ;_ @_ "/>
    <numFmt numFmtId="170" formatCode="_ * #,##0.0000_ ;_ * \-#,##0.0000_ ;_ * &quot;-&quot;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41" fontId="3" fillId="0" borderId="0" xfId="1" applyNumberFormat="1" applyFont="1"/>
    <xf numFmtId="0" fontId="3" fillId="0" borderId="1" xfId="1" applyFont="1" applyBorder="1"/>
    <xf numFmtId="41" fontId="3" fillId="0" borderId="1" xfId="1" applyNumberFormat="1" applyFont="1" applyBorder="1"/>
    <xf numFmtId="41" fontId="3" fillId="0" borderId="2" xfId="1" applyNumberFormat="1" applyFont="1" applyBorder="1"/>
    <xf numFmtId="41" fontId="3" fillId="0" borderId="3" xfId="1" applyNumberFormat="1" applyFont="1" applyBorder="1"/>
    <xf numFmtId="41" fontId="4" fillId="0" borderId="0" xfId="1" applyNumberFormat="1" applyFont="1"/>
    <xf numFmtId="41" fontId="4" fillId="0" borderId="2" xfId="1" applyNumberFormat="1" applyFont="1" applyBorder="1"/>
    <xf numFmtId="9" fontId="3" fillId="0" borderId="0" xfId="1" applyNumberFormat="1" applyFont="1"/>
    <xf numFmtId="0" fontId="5" fillId="0" borderId="0" xfId="1" applyFont="1"/>
    <xf numFmtId="41" fontId="3" fillId="0" borderId="0" xfId="1" applyNumberFormat="1" applyFont="1" applyAlignment="1">
      <alignment horizontal="center"/>
    </xf>
    <xf numFmtId="0" fontId="4" fillId="0" borderId="4" xfId="1" applyFont="1" applyBorder="1"/>
    <xf numFmtId="41" fontId="3" fillId="0" borderId="5" xfId="1" applyNumberFormat="1" applyFont="1" applyBorder="1"/>
    <xf numFmtId="41" fontId="3" fillId="0" borderId="6" xfId="1" applyNumberFormat="1" applyFont="1" applyBorder="1"/>
    <xf numFmtId="41" fontId="1" fillId="0" borderId="0" xfId="1" applyNumberFormat="1"/>
    <xf numFmtId="41" fontId="3" fillId="0" borderId="0" xfId="1" applyNumberFormat="1" applyFont="1" applyBorder="1"/>
    <xf numFmtId="41" fontId="3" fillId="0" borderId="7" xfId="1" applyNumberFormat="1" applyFont="1" applyBorder="1"/>
    <xf numFmtId="0" fontId="1" fillId="0" borderId="1" xfId="1" applyBorder="1"/>
    <xf numFmtId="41" fontId="1" fillId="0" borderId="1" xfId="1" applyNumberFormat="1" applyBorder="1"/>
    <xf numFmtId="0" fontId="3" fillId="0" borderId="2" xfId="1" applyFont="1" applyBorder="1"/>
    <xf numFmtId="41" fontId="2" fillId="0" borderId="0" xfId="1" applyNumberFormat="1" applyFont="1"/>
    <xf numFmtId="164" fontId="3" fillId="0" borderId="0" xfId="1" applyNumberFormat="1" applyFont="1" applyBorder="1"/>
    <xf numFmtId="0" fontId="1" fillId="0" borderId="2" xfId="1" applyBorder="1"/>
    <xf numFmtId="41" fontId="4" fillId="0" borderId="4" xfId="1" applyNumberFormat="1" applyFont="1" applyBorder="1"/>
    <xf numFmtId="41" fontId="4" fillId="0" borderId="5" xfId="1" applyNumberFormat="1" applyFont="1" applyBorder="1"/>
    <xf numFmtId="41" fontId="4" fillId="0" borderId="6" xfId="1" applyNumberFormat="1" applyFont="1" applyBorder="1"/>
    <xf numFmtId="0" fontId="1" fillId="0" borderId="0" xfId="1" applyFont="1"/>
    <xf numFmtId="0" fontId="3" fillId="0" borderId="5" xfId="1" applyFont="1" applyBorder="1"/>
    <xf numFmtId="41" fontId="6" fillId="0" borderId="2" xfId="1" applyNumberFormat="1" applyFont="1" applyBorder="1"/>
    <xf numFmtId="165" fontId="3" fillId="0" borderId="0" xfId="1" applyNumberFormat="1" applyFont="1"/>
    <xf numFmtId="0" fontId="7" fillId="0" borderId="0" xfId="1" applyFont="1"/>
    <xf numFmtId="41" fontId="4" fillId="0" borderId="0" xfId="1" applyNumberFormat="1" applyFont="1" applyAlignment="1">
      <alignment horizontal="center"/>
    </xf>
    <xf numFmtId="0" fontId="2" fillId="0" borderId="5" xfId="1" applyFont="1" applyBorder="1"/>
    <xf numFmtId="41" fontId="2" fillId="0" borderId="5" xfId="1" applyNumberFormat="1" applyFont="1" applyBorder="1"/>
    <xf numFmtId="164" fontId="3" fillId="0" borderId="0" xfId="1" applyNumberFormat="1" applyFont="1"/>
    <xf numFmtId="0" fontId="8" fillId="0" borderId="0" xfId="1" applyFont="1"/>
    <xf numFmtId="0" fontId="6" fillId="0" borderId="0" xfId="1" applyFont="1"/>
    <xf numFmtId="41" fontId="6" fillId="0" borderId="0" xfId="1" applyNumberFormat="1" applyFont="1"/>
    <xf numFmtId="41" fontId="9" fillId="0" borderId="0" xfId="1" applyNumberFormat="1" applyFont="1"/>
    <xf numFmtId="41" fontId="6" fillId="0" borderId="1" xfId="1" applyNumberFormat="1" applyFont="1" applyBorder="1"/>
    <xf numFmtId="41" fontId="6" fillId="0" borderId="3" xfId="1" applyNumberFormat="1" applyFont="1" applyBorder="1"/>
    <xf numFmtId="41" fontId="6" fillId="0" borderId="0" xfId="1" applyNumberFormat="1" applyFont="1" applyBorder="1"/>
    <xf numFmtId="0" fontId="1" fillId="0" borderId="0" xfId="1" applyBorder="1"/>
    <xf numFmtId="41" fontId="9" fillId="0" borderId="1" xfId="1" applyNumberFormat="1" applyFont="1" applyBorder="1"/>
    <xf numFmtId="41" fontId="6" fillId="0" borderId="3" xfId="1" applyNumberFormat="1" applyFont="1" applyBorder="1" applyAlignment="1">
      <alignment horizontal="center"/>
    </xf>
    <xf numFmtId="41" fontId="10" fillId="0" borderId="0" xfId="1" applyNumberFormat="1" applyFont="1"/>
    <xf numFmtId="41" fontId="6" fillId="0" borderId="5" xfId="1" applyNumberFormat="1" applyFont="1" applyBorder="1"/>
    <xf numFmtId="0" fontId="9" fillId="0" borderId="0" xfId="1" applyFont="1"/>
    <xf numFmtId="41" fontId="6" fillId="0" borderId="6" xfId="1" applyNumberFormat="1" applyFont="1" applyBorder="1"/>
    <xf numFmtId="41" fontId="9" fillId="0" borderId="6" xfId="1" applyNumberFormat="1" applyFont="1" applyBorder="1"/>
    <xf numFmtId="41" fontId="6" fillId="0" borderId="8" xfId="1" applyNumberFormat="1" applyFont="1" applyBorder="1"/>
    <xf numFmtId="41" fontId="9" fillId="0" borderId="2" xfId="1" applyNumberFormat="1" applyFont="1" applyBorder="1"/>
    <xf numFmtId="0" fontId="0" fillId="0" borderId="1" xfId="0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0" xfId="0" applyNumberFormat="1"/>
    <xf numFmtId="166" fontId="0" fillId="0" borderId="1" xfId="0" applyNumberFormat="1" applyBorder="1"/>
    <xf numFmtId="0" fontId="11" fillId="0" borderId="0" xfId="0" applyFont="1"/>
    <xf numFmtId="166" fontId="11" fillId="0" borderId="9" xfId="0" applyNumberFormat="1" applyFont="1" applyBorder="1"/>
    <xf numFmtId="0" fontId="0" fillId="0" borderId="1" xfId="0" applyBorder="1" applyAlignment="1">
      <alignment horizontal="center"/>
    </xf>
    <xf numFmtId="168" fontId="3" fillId="0" borderId="7" xfId="2" applyNumberFormat="1" applyFont="1" applyBorder="1"/>
    <xf numFmtId="168" fontId="1" fillId="0" borderId="7" xfId="2" applyNumberFormat="1" applyFont="1" applyBorder="1"/>
    <xf numFmtId="164" fontId="1" fillId="0" borderId="0" xfId="1" applyNumberFormat="1"/>
    <xf numFmtId="165" fontId="6" fillId="0" borderId="0" xfId="1" applyNumberFormat="1" applyFont="1"/>
    <xf numFmtId="10" fontId="6" fillId="0" borderId="0" xfId="3" applyNumberFormat="1" applyFont="1"/>
    <xf numFmtId="41" fontId="6" fillId="0" borderId="7" xfId="1" applyNumberFormat="1" applyFont="1" applyBorder="1"/>
    <xf numFmtId="0" fontId="6" fillId="0" borderId="8" xfId="1" applyFont="1" applyBorder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5" xfId="0" applyNumberFormat="1" applyBorder="1"/>
    <xf numFmtId="3" fontId="0" fillId="0" borderId="5" xfId="0" applyNumberFormat="1" applyBorder="1"/>
    <xf numFmtId="9" fontId="0" fillId="0" borderId="0" xfId="3" applyFont="1"/>
    <xf numFmtId="3" fontId="0" fillId="0" borderId="0" xfId="0" applyNumberFormat="1" applyBorder="1"/>
    <xf numFmtId="0" fontId="1" fillId="0" borderId="0" xfId="4"/>
    <xf numFmtId="0" fontId="6" fillId="0" borderId="0" xfId="4" applyFont="1"/>
    <xf numFmtId="41" fontId="6" fillId="0" borderId="0" xfId="4" applyNumberFormat="1" applyFont="1"/>
    <xf numFmtId="41" fontId="6" fillId="0" borderId="0" xfId="4" applyNumberFormat="1" applyFont="1" applyBorder="1"/>
    <xf numFmtId="0" fontId="1" fillId="0" borderId="0" xfId="4" applyBorder="1"/>
    <xf numFmtId="0" fontId="6" fillId="0" borderId="0" xfId="4" applyFont="1" applyBorder="1"/>
    <xf numFmtId="41" fontId="6" fillId="0" borderId="2" xfId="4" applyNumberFormat="1" applyFont="1" applyBorder="1"/>
    <xf numFmtId="41" fontId="6" fillId="0" borderId="1" xfId="4" applyNumberFormat="1" applyFont="1" applyBorder="1"/>
    <xf numFmtId="41" fontId="6" fillId="0" borderId="8" xfId="4" applyNumberFormat="1" applyFont="1" applyBorder="1"/>
    <xf numFmtId="41" fontId="9" fillId="0" borderId="0" xfId="4" applyNumberFormat="1" applyFont="1" applyBorder="1"/>
    <xf numFmtId="0" fontId="9" fillId="0" borderId="0" xfId="4" applyFont="1" applyBorder="1"/>
    <xf numFmtId="0" fontId="6" fillId="0" borderId="2" xfId="4" applyFont="1" applyBorder="1"/>
    <xf numFmtId="41" fontId="6" fillId="0" borderId="7" xfId="4" applyNumberFormat="1" applyFont="1" applyBorder="1"/>
    <xf numFmtId="41" fontId="9" fillId="0" borderId="1" xfId="4" applyNumberFormat="1" applyFont="1" applyBorder="1"/>
    <xf numFmtId="41" fontId="4" fillId="0" borderId="5" xfId="4" applyNumberFormat="1" applyFont="1" applyBorder="1"/>
    <xf numFmtId="41" fontId="9" fillId="0" borderId="5" xfId="4" applyNumberFormat="1" applyFont="1" applyBorder="1"/>
    <xf numFmtId="41" fontId="6" fillId="0" borderId="5" xfId="4" applyNumberFormat="1" applyFont="1" applyBorder="1"/>
    <xf numFmtId="0" fontId="1" fillId="0" borderId="1" xfId="4" applyBorder="1"/>
    <xf numFmtId="41" fontId="10" fillId="0" borderId="0" xfId="4" applyNumberFormat="1" applyFont="1"/>
    <xf numFmtId="41" fontId="6" fillId="0" borderId="0" xfId="4" applyNumberFormat="1" applyFont="1" applyBorder="1" applyAlignment="1">
      <alignment horizontal="center"/>
    </xf>
    <xf numFmtId="41" fontId="6" fillId="0" borderId="1" xfId="4" applyNumberFormat="1" applyFont="1" applyBorder="1" applyAlignment="1">
      <alignment horizontal="center"/>
    </xf>
    <xf numFmtId="0" fontId="6" fillId="0" borderId="1" xfId="4" applyFont="1" applyBorder="1"/>
    <xf numFmtId="168" fontId="6" fillId="0" borderId="0" xfId="5" applyNumberFormat="1" applyFont="1"/>
    <xf numFmtId="168" fontId="6" fillId="0" borderId="1" xfId="5" applyNumberFormat="1" applyFont="1" applyBorder="1"/>
    <xf numFmtId="168" fontId="6" fillId="0" borderId="0" xfId="5" applyNumberFormat="1" applyFont="1" applyBorder="1"/>
    <xf numFmtId="41" fontId="6" fillId="0" borderId="3" xfId="4" applyNumberFormat="1" applyFont="1" applyBorder="1"/>
    <xf numFmtId="169" fontId="6" fillId="0" borderId="0" xfId="4" applyNumberFormat="1" applyFont="1"/>
    <xf numFmtId="170" fontId="6" fillId="0" borderId="0" xfId="4" applyNumberFormat="1" applyFont="1"/>
    <xf numFmtId="0" fontId="10" fillId="0" borderId="0" xfId="4" applyFont="1"/>
    <xf numFmtId="16" fontId="6" fillId="0" borderId="0" xfId="4" applyNumberFormat="1" applyFont="1"/>
    <xf numFmtId="0" fontId="1" fillId="0" borderId="2" xfId="4" applyFont="1" applyBorder="1"/>
    <xf numFmtId="165" fontId="6" fillId="0" borderId="0" xfId="4" applyNumberFormat="1" applyFont="1"/>
    <xf numFmtId="9" fontId="6" fillId="0" borderId="0" xfId="4" applyNumberFormat="1" applyFont="1"/>
    <xf numFmtId="0" fontId="13" fillId="0" borderId="0" xfId="4" applyFont="1"/>
    <xf numFmtId="3" fontId="14" fillId="0" borderId="0" xfId="0" applyNumberFormat="1" applyFont="1"/>
    <xf numFmtId="0" fontId="1" fillId="0" borderId="0" xfId="4" applyFont="1"/>
  </cellXfs>
  <cellStyles count="6">
    <cellStyle name="Komma" xfId="2" builtinId="3"/>
    <cellStyle name="Komma 2" xfId="5"/>
    <cellStyle name="Normal" xfId="0" builtinId="0"/>
    <cellStyle name="Normal 4" xfId="4"/>
    <cellStyle name="Normal 6" xfId="1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k_finansmodeller_221206/Regneark/LosningerPaaOppgav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sn kap 1"/>
      <sheetName val="Løsn kap 2"/>
      <sheetName val="Løsn kap 3"/>
      <sheetName val="Løsn kap 4"/>
      <sheetName val="Løsn kap 5"/>
    </sheetNames>
    <sheetDataSet>
      <sheetData sheetId="0" refreshError="1"/>
      <sheetData sheetId="1"/>
      <sheetData sheetId="2" refreshError="1"/>
      <sheetData sheetId="3" refreshError="1"/>
      <sheetData sheetId="4">
        <row r="164">
          <cell r="B164">
            <v>100</v>
          </cell>
          <cell r="E164">
            <v>0.15833333333333335</v>
          </cell>
        </row>
        <row r="165">
          <cell r="B165">
            <v>100</v>
          </cell>
          <cell r="E165">
            <v>8.3333333333333592E-3</v>
          </cell>
        </row>
        <row r="166">
          <cell r="B166">
            <v>0.05</v>
          </cell>
        </row>
        <row r="167">
          <cell r="B167">
            <v>0.3</v>
          </cell>
        </row>
        <row r="168">
          <cell r="B168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110" zoomScaleNormal="110" workbookViewId="0">
      <selection activeCell="C1" sqref="C1"/>
    </sheetView>
  </sheetViews>
  <sheetFormatPr baseColWidth="10" defaultRowHeight="15" x14ac:dyDescent="0.25"/>
  <cols>
    <col min="1" max="1" width="19.28515625" customWidth="1"/>
    <col min="2" max="2" width="13.140625" customWidth="1"/>
    <col min="3" max="3" width="19.42578125" customWidth="1"/>
    <col min="4" max="4" width="13" customWidth="1"/>
  </cols>
  <sheetData>
    <row r="1" spans="1:4" x14ac:dyDescent="0.25">
      <c r="A1" t="s">
        <v>233</v>
      </c>
    </row>
    <row r="3" spans="1:4" x14ac:dyDescent="0.25">
      <c r="A3" s="63" t="s">
        <v>246</v>
      </c>
      <c r="B3" s="63"/>
      <c r="C3" s="63"/>
      <c r="D3" s="63"/>
    </row>
    <row r="4" spans="1:4" x14ac:dyDescent="0.25">
      <c r="A4" s="61" t="s">
        <v>234</v>
      </c>
      <c r="B4" s="62"/>
      <c r="C4" s="61" t="s">
        <v>248</v>
      </c>
      <c r="D4" s="59"/>
    </row>
    <row r="5" spans="1:4" x14ac:dyDescent="0.25">
      <c r="A5" t="s">
        <v>235</v>
      </c>
      <c r="B5" s="57">
        <v>1000000</v>
      </c>
      <c r="C5" t="s">
        <v>236</v>
      </c>
      <c r="D5" s="59"/>
    </row>
    <row r="6" spans="1:4" x14ac:dyDescent="0.25">
      <c r="A6" t="s">
        <v>237</v>
      </c>
      <c r="B6" s="57">
        <v>200000</v>
      </c>
      <c r="C6" t="s">
        <v>238</v>
      </c>
      <c r="D6" s="59">
        <v>500000</v>
      </c>
    </row>
    <row r="7" spans="1:4" x14ac:dyDescent="0.25">
      <c r="A7" t="s">
        <v>203</v>
      </c>
      <c r="B7" s="57">
        <v>140000</v>
      </c>
      <c r="C7" t="s">
        <v>247</v>
      </c>
      <c r="D7" s="59">
        <v>220000</v>
      </c>
    </row>
    <row r="8" spans="1:4" x14ac:dyDescent="0.25">
      <c r="A8" t="s">
        <v>239</v>
      </c>
      <c r="B8" s="57">
        <v>20000</v>
      </c>
      <c r="C8" t="s">
        <v>240</v>
      </c>
      <c r="D8" s="59">
        <v>720000</v>
      </c>
    </row>
    <row r="9" spans="1:4" x14ac:dyDescent="0.25">
      <c r="B9" s="57"/>
      <c r="C9" t="s">
        <v>241</v>
      </c>
      <c r="D9" s="59"/>
    </row>
    <row r="10" spans="1:4" x14ac:dyDescent="0.25">
      <c r="B10" s="57"/>
      <c r="C10" t="s">
        <v>242</v>
      </c>
      <c r="D10" s="59">
        <v>600000</v>
      </c>
    </row>
    <row r="11" spans="1:4" x14ac:dyDescent="0.25">
      <c r="B11" s="57"/>
      <c r="C11" t="s">
        <v>243</v>
      </c>
      <c r="D11" s="59">
        <v>40000</v>
      </c>
    </row>
    <row r="12" spans="1:4" x14ac:dyDescent="0.25">
      <c r="A12" s="56"/>
      <c r="B12" s="58"/>
      <c r="C12" s="56" t="s">
        <v>244</v>
      </c>
      <c r="D12" s="60">
        <v>640000</v>
      </c>
    </row>
    <row r="13" spans="1:4" x14ac:dyDescent="0.25">
      <c r="A13" t="s">
        <v>245</v>
      </c>
      <c r="B13" s="57">
        <f>SUM(B5:B12)</f>
        <v>1360000</v>
      </c>
      <c r="C13" t="s">
        <v>245</v>
      </c>
      <c r="D13" s="59">
        <f>D8+D12</f>
        <v>1360000</v>
      </c>
    </row>
    <row r="15" spans="1:4" x14ac:dyDescent="0.25">
      <c r="A15" t="s">
        <v>262</v>
      </c>
      <c r="B15" s="59">
        <v>110000</v>
      </c>
    </row>
    <row r="16" spans="1:4" x14ac:dyDescent="0.25">
      <c r="A16" t="s">
        <v>249</v>
      </c>
      <c r="B16">
        <v>30</v>
      </c>
      <c r="C16" t="s">
        <v>250</v>
      </c>
    </row>
    <row r="17" spans="1:4" x14ac:dyDescent="0.25">
      <c r="A17" t="s">
        <v>251</v>
      </c>
      <c r="B17" s="59">
        <v>10000</v>
      </c>
      <c r="C17" t="s">
        <v>252</v>
      </c>
    </row>
    <row r="18" spans="1:4" x14ac:dyDescent="0.25">
      <c r="A18" t="s">
        <v>223</v>
      </c>
      <c r="B18" s="59">
        <v>50000</v>
      </c>
    </row>
    <row r="19" spans="1:4" x14ac:dyDescent="0.25">
      <c r="A19" t="s">
        <v>253</v>
      </c>
      <c r="B19" s="59">
        <v>90000</v>
      </c>
    </row>
    <row r="20" spans="1:4" x14ac:dyDescent="0.25">
      <c r="A20" t="s">
        <v>254</v>
      </c>
      <c r="B20" s="59">
        <v>20000</v>
      </c>
    </row>
    <row r="21" spans="1:4" x14ac:dyDescent="0.25">
      <c r="A21" t="s">
        <v>255</v>
      </c>
      <c r="B21" s="59"/>
    </row>
    <row r="22" spans="1:4" x14ac:dyDescent="0.25">
      <c r="B22" s="59"/>
    </row>
    <row r="23" spans="1:4" x14ac:dyDescent="0.25">
      <c r="A23" t="s">
        <v>257</v>
      </c>
      <c r="B23" s="59">
        <f>B8</f>
        <v>20000</v>
      </c>
    </row>
    <row r="24" spans="1:4" x14ac:dyDescent="0.25">
      <c r="A24" t="s">
        <v>258</v>
      </c>
      <c r="B24" s="59">
        <f>B17+B18</f>
        <v>60000</v>
      </c>
    </row>
    <row r="25" spans="1:4" x14ac:dyDescent="0.25">
      <c r="A25" t="s">
        <v>259</v>
      </c>
      <c r="B25" s="59">
        <f>B19</f>
        <v>90000</v>
      </c>
    </row>
    <row r="26" spans="1:4" x14ac:dyDescent="0.25">
      <c r="A26" s="56" t="s">
        <v>260</v>
      </c>
      <c r="B26" s="60">
        <f>B7</f>
        <v>140000</v>
      </c>
    </row>
    <row r="27" spans="1:4" x14ac:dyDescent="0.25">
      <c r="A27" t="s">
        <v>261</v>
      </c>
      <c r="B27" s="59">
        <f>B23-B24-B25+B26</f>
        <v>10000</v>
      </c>
    </row>
    <row r="28" spans="1:4" x14ac:dyDescent="0.25">
      <c r="B28" s="59"/>
    </row>
    <row r="29" spans="1:4" x14ac:dyDescent="0.25">
      <c r="A29" s="63" t="s">
        <v>256</v>
      </c>
      <c r="B29" s="63"/>
      <c r="C29" s="63"/>
      <c r="D29" s="63"/>
    </row>
    <row r="30" spans="1:4" x14ac:dyDescent="0.25">
      <c r="A30" s="61" t="s">
        <v>234</v>
      </c>
      <c r="B30" s="62"/>
      <c r="C30" s="61" t="s">
        <v>248</v>
      </c>
      <c r="D30" s="59"/>
    </row>
    <row r="31" spans="1:4" x14ac:dyDescent="0.25">
      <c r="A31" t="s">
        <v>235</v>
      </c>
      <c r="B31" s="57">
        <f>B5</f>
        <v>1000000</v>
      </c>
      <c r="C31" t="s">
        <v>236</v>
      </c>
      <c r="D31" s="59"/>
    </row>
    <row r="32" spans="1:4" x14ac:dyDescent="0.25">
      <c r="A32" t="s">
        <v>237</v>
      </c>
      <c r="B32" s="57">
        <f>B6</f>
        <v>200000</v>
      </c>
      <c r="C32" t="s">
        <v>238</v>
      </c>
      <c r="D32" s="59">
        <f>D6</f>
        <v>500000</v>
      </c>
    </row>
    <row r="33" spans="1:4" x14ac:dyDescent="0.25">
      <c r="A33" t="s">
        <v>203</v>
      </c>
      <c r="B33" s="57">
        <f>B15</f>
        <v>110000</v>
      </c>
      <c r="C33" t="s">
        <v>247</v>
      </c>
      <c r="D33" s="60">
        <f>D7+B20</f>
        <v>240000</v>
      </c>
    </row>
    <row r="34" spans="1:4" x14ac:dyDescent="0.25">
      <c r="A34" t="s">
        <v>239</v>
      </c>
      <c r="B34" s="57">
        <f>B27</f>
        <v>10000</v>
      </c>
      <c r="C34" t="s">
        <v>240</v>
      </c>
      <c r="D34" s="59">
        <f>SUM(D32:D33)</f>
        <v>740000</v>
      </c>
    </row>
    <row r="35" spans="1:4" x14ac:dyDescent="0.25">
      <c r="B35" s="57"/>
      <c r="C35" t="s">
        <v>241</v>
      </c>
      <c r="D35" s="59"/>
    </row>
    <row r="36" spans="1:4" x14ac:dyDescent="0.25">
      <c r="B36" s="57"/>
      <c r="C36" t="s">
        <v>242</v>
      </c>
      <c r="D36" s="59">
        <f>D10-B18</f>
        <v>550000</v>
      </c>
    </row>
    <row r="37" spans="1:4" x14ac:dyDescent="0.25">
      <c r="B37" s="57"/>
      <c r="C37" t="s">
        <v>243</v>
      </c>
      <c r="D37" s="60">
        <f>D11-B17</f>
        <v>30000</v>
      </c>
    </row>
    <row r="38" spans="1:4" x14ac:dyDescent="0.25">
      <c r="A38" s="56"/>
      <c r="B38" s="58"/>
      <c r="C38" s="56" t="s">
        <v>244</v>
      </c>
      <c r="D38" s="60">
        <f>SUM(D36:D37)</f>
        <v>580000</v>
      </c>
    </row>
    <row r="39" spans="1:4" x14ac:dyDescent="0.25">
      <c r="A39" t="s">
        <v>245</v>
      </c>
      <c r="B39" s="57">
        <f>SUM(B31:B38)</f>
        <v>1320000</v>
      </c>
      <c r="C39" t="s">
        <v>245</v>
      </c>
      <c r="D39" s="59">
        <f>D34+D38</f>
        <v>1320000</v>
      </c>
    </row>
  </sheetData>
  <mergeCells count="2">
    <mergeCell ref="A3:D3"/>
    <mergeCell ref="A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>
      <selection activeCell="B1" sqref="B1"/>
    </sheetView>
  </sheetViews>
  <sheetFormatPr baseColWidth="10" defaultRowHeight="12.75" x14ac:dyDescent="0.2"/>
  <cols>
    <col min="1" max="1" width="20.7109375" style="2" customWidth="1"/>
    <col min="2" max="7" width="10.7109375" style="2" customWidth="1"/>
    <col min="8" max="256" width="11.42578125" style="2"/>
    <col min="257" max="257" width="20.7109375" style="2" customWidth="1"/>
    <col min="258" max="263" width="10.7109375" style="2" customWidth="1"/>
    <col min="264" max="512" width="11.42578125" style="2"/>
    <col min="513" max="513" width="20.7109375" style="2" customWidth="1"/>
    <col min="514" max="519" width="10.7109375" style="2" customWidth="1"/>
    <col min="520" max="768" width="11.42578125" style="2"/>
    <col min="769" max="769" width="20.7109375" style="2" customWidth="1"/>
    <col min="770" max="775" width="10.7109375" style="2" customWidth="1"/>
    <col min="776" max="1024" width="11.42578125" style="2"/>
    <col min="1025" max="1025" width="20.7109375" style="2" customWidth="1"/>
    <col min="1026" max="1031" width="10.7109375" style="2" customWidth="1"/>
    <col min="1032" max="1280" width="11.42578125" style="2"/>
    <col min="1281" max="1281" width="20.7109375" style="2" customWidth="1"/>
    <col min="1282" max="1287" width="10.7109375" style="2" customWidth="1"/>
    <col min="1288" max="1536" width="11.42578125" style="2"/>
    <col min="1537" max="1537" width="20.7109375" style="2" customWidth="1"/>
    <col min="1538" max="1543" width="10.7109375" style="2" customWidth="1"/>
    <col min="1544" max="1792" width="11.42578125" style="2"/>
    <col min="1793" max="1793" width="20.7109375" style="2" customWidth="1"/>
    <col min="1794" max="1799" width="10.7109375" style="2" customWidth="1"/>
    <col min="1800" max="2048" width="11.42578125" style="2"/>
    <col min="2049" max="2049" width="20.7109375" style="2" customWidth="1"/>
    <col min="2050" max="2055" width="10.7109375" style="2" customWidth="1"/>
    <col min="2056" max="2304" width="11.42578125" style="2"/>
    <col min="2305" max="2305" width="20.7109375" style="2" customWidth="1"/>
    <col min="2306" max="2311" width="10.7109375" style="2" customWidth="1"/>
    <col min="2312" max="2560" width="11.42578125" style="2"/>
    <col min="2561" max="2561" width="20.7109375" style="2" customWidth="1"/>
    <col min="2562" max="2567" width="10.7109375" style="2" customWidth="1"/>
    <col min="2568" max="2816" width="11.42578125" style="2"/>
    <col min="2817" max="2817" width="20.7109375" style="2" customWidth="1"/>
    <col min="2818" max="2823" width="10.7109375" style="2" customWidth="1"/>
    <col min="2824" max="3072" width="11.42578125" style="2"/>
    <col min="3073" max="3073" width="20.7109375" style="2" customWidth="1"/>
    <col min="3074" max="3079" width="10.7109375" style="2" customWidth="1"/>
    <col min="3080" max="3328" width="11.42578125" style="2"/>
    <col min="3329" max="3329" width="20.7109375" style="2" customWidth="1"/>
    <col min="3330" max="3335" width="10.7109375" style="2" customWidth="1"/>
    <col min="3336" max="3584" width="11.42578125" style="2"/>
    <col min="3585" max="3585" width="20.7109375" style="2" customWidth="1"/>
    <col min="3586" max="3591" width="10.7109375" style="2" customWidth="1"/>
    <col min="3592" max="3840" width="11.42578125" style="2"/>
    <col min="3841" max="3841" width="20.7109375" style="2" customWidth="1"/>
    <col min="3842" max="3847" width="10.7109375" style="2" customWidth="1"/>
    <col min="3848" max="4096" width="11.42578125" style="2"/>
    <col min="4097" max="4097" width="20.7109375" style="2" customWidth="1"/>
    <col min="4098" max="4103" width="10.7109375" style="2" customWidth="1"/>
    <col min="4104" max="4352" width="11.42578125" style="2"/>
    <col min="4353" max="4353" width="20.7109375" style="2" customWidth="1"/>
    <col min="4354" max="4359" width="10.7109375" style="2" customWidth="1"/>
    <col min="4360" max="4608" width="11.42578125" style="2"/>
    <col min="4609" max="4609" width="20.7109375" style="2" customWidth="1"/>
    <col min="4610" max="4615" width="10.7109375" style="2" customWidth="1"/>
    <col min="4616" max="4864" width="11.42578125" style="2"/>
    <col min="4865" max="4865" width="20.7109375" style="2" customWidth="1"/>
    <col min="4866" max="4871" width="10.7109375" style="2" customWidth="1"/>
    <col min="4872" max="5120" width="11.42578125" style="2"/>
    <col min="5121" max="5121" width="20.7109375" style="2" customWidth="1"/>
    <col min="5122" max="5127" width="10.7109375" style="2" customWidth="1"/>
    <col min="5128" max="5376" width="11.42578125" style="2"/>
    <col min="5377" max="5377" width="20.7109375" style="2" customWidth="1"/>
    <col min="5378" max="5383" width="10.7109375" style="2" customWidth="1"/>
    <col min="5384" max="5632" width="11.42578125" style="2"/>
    <col min="5633" max="5633" width="20.7109375" style="2" customWidth="1"/>
    <col min="5634" max="5639" width="10.7109375" style="2" customWidth="1"/>
    <col min="5640" max="5888" width="11.42578125" style="2"/>
    <col min="5889" max="5889" width="20.7109375" style="2" customWidth="1"/>
    <col min="5890" max="5895" width="10.7109375" style="2" customWidth="1"/>
    <col min="5896" max="6144" width="11.42578125" style="2"/>
    <col min="6145" max="6145" width="20.7109375" style="2" customWidth="1"/>
    <col min="6146" max="6151" width="10.7109375" style="2" customWidth="1"/>
    <col min="6152" max="6400" width="11.42578125" style="2"/>
    <col min="6401" max="6401" width="20.7109375" style="2" customWidth="1"/>
    <col min="6402" max="6407" width="10.7109375" style="2" customWidth="1"/>
    <col min="6408" max="6656" width="11.42578125" style="2"/>
    <col min="6657" max="6657" width="20.7109375" style="2" customWidth="1"/>
    <col min="6658" max="6663" width="10.7109375" style="2" customWidth="1"/>
    <col min="6664" max="6912" width="11.42578125" style="2"/>
    <col min="6913" max="6913" width="20.7109375" style="2" customWidth="1"/>
    <col min="6914" max="6919" width="10.7109375" style="2" customWidth="1"/>
    <col min="6920" max="7168" width="11.42578125" style="2"/>
    <col min="7169" max="7169" width="20.7109375" style="2" customWidth="1"/>
    <col min="7170" max="7175" width="10.7109375" style="2" customWidth="1"/>
    <col min="7176" max="7424" width="11.42578125" style="2"/>
    <col min="7425" max="7425" width="20.7109375" style="2" customWidth="1"/>
    <col min="7426" max="7431" width="10.7109375" style="2" customWidth="1"/>
    <col min="7432" max="7680" width="11.42578125" style="2"/>
    <col min="7681" max="7681" width="20.7109375" style="2" customWidth="1"/>
    <col min="7682" max="7687" width="10.7109375" style="2" customWidth="1"/>
    <col min="7688" max="7936" width="11.42578125" style="2"/>
    <col min="7937" max="7937" width="20.7109375" style="2" customWidth="1"/>
    <col min="7938" max="7943" width="10.7109375" style="2" customWidth="1"/>
    <col min="7944" max="8192" width="11.42578125" style="2"/>
    <col min="8193" max="8193" width="20.7109375" style="2" customWidth="1"/>
    <col min="8194" max="8199" width="10.7109375" style="2" customWidth="1"/>
    <col min="8200" max="8448" width="11.42578125" style="2"/>
    <col min="8449" max="8449" width="20.7109375" style="2" customWidth="1"/>
    <col min="8450" max="8455" width="10.7109375" style="2" customWidth="1"/>
    <col min="8456" max="8704" width="11.42578125" style="2"/>
    <col min="8705" max="8705" width="20.7109375" style="2" customWidth="1"/>
    <col min="8706" max="8711" width="10.7109375" style="2" customWidth="1"/>
    <col min="8712" max="8960" width="11.42578125" style="2"/>
    <col min="8961" max="8961" width="20.7109375" style="2" customWidth="1"/>
    <col min="8962" max="8967" width="10.7109375" style="2" customWidth="1"/>
    <col min="8968" max="9216" width="11.42578125" style="2"/>
    <col min="9217" max="9217" width="20.7109375" style="2" customWidth="1"/>
    <col min="9218" max="9223" width="10.7109375" style="2" customWidth="1"/>
    <col min="9224" max="9472" width="11.42578125" style="2"/>
    <col min="9473" max="9473" width="20.7109375" style="2" customWidth="1"/>
    <col min="9474" max="9479" width="10.7109375" style="2" customWidth="1"/>
    <col min="9480" max="9728" width="11.42578125" style="2"/>
    <col min="9729" max="9729" width="20.7109375" style="2" customWidth="1"/>
    <col min="9730" max="9735" width="10.7109375" style="2" customWidth="1"/>
    <col min="9736" max="9984" width="11.42578125" style="2"/>
    <col min="9985" max="9985" width="20.7109375" style="2" customWidth="1"/>
    <col min="9986" max="9991" width="10.7109375" style="2" customWidth="1"/>
    <col min="9992" max="10240" width="11.42578125" style="2"/>
    <col min="10241" max="10241" width="20.7109375" style="2" customWidth="1"/>
    <col min="10242" max="10247" width="10.7109375" style="2" customWidth="1"/>
    <col min="10248" max="10496" width="11.42578125" style="2"/>
    <col min="10497" max="10497" width="20.7109375" style="2" customWidth="1"/>
    <col min="10498" max="10503" width="10.7109375" style="2" customWidth="1"/>
    <col min="10504" max="10752" width="11.42578125" style="2"/>
    <col min="10753" max="10753" width="20.7109375" style="2" customWidth="1"/>
    <col min="10754" max="10759" width="10.7109375" style="2" customWidth="1"/>
    <col min="10760" max="11008" width="11.42578125" style="2"/>
    <col min="11009" max="11009" width="20.7109375" style="2" customWidth="1"/>
    <col min="11010" max="11015" width="10.7109375" style="2" customWidth="1"/>
    <col min="11016" max="11264" width="11.42578125" style="2"/>
    <col min="11265" max="11265" width="20.7109375" style="2" customWidth="1"/>
    <col min="11266" max="11271" width="10.7109375" style="2" customWidth="1"/>
    <col min="11272" max="11520" width="11.42578125" style="2"/>
    <col min="11521" max="11521" width="20.7109375" style="2" customWidth="1"/>
    <col min="11522" max="11527" width="10.7109375" style="2" customWidth="1"/>
    <col min="11528" max="11776" width="11.42578125" style="2"/>
    <col min="11777" max="11777" width="20.7109375" style="2" customWidth="1"/>
    <col min="11778" max="11783" width="10.7109375" style="2" customWidth="1"/>
    <col min="11784" max="12032" width="11.42578125" style="2"/>
    <col min="12033" max="12033" width="20.7109375" style="2" customWidth="1"/>
    <col min="12034" max="12039" width="10.7109375" style="2" customWidth="1"/>
    <col min="12040" max="12288" width="11.42578125" style="2"/>
    <col min="12289" max="12289" width="20.7109375" style="2" customWidth="1"/>
    <col min="12290" max="12295" width="10.7109375" style="2" customWidth="1"/>
    <col min="12296" max="12544" width="11.42578125" style="2"/>
    <col min="12545" max="12545" width="20.7109375" style="2" customWidth="1"/>
    <col min="12546" max="12551" width="10.7109375" style="2" customWidth="1"/>
    <col min="12552" max="12800" width="11.42578125" style="2"/>
    <col min="12801" max="12801" width="20.7109375" style="2" customWidth="1"/>
    <col min="12802" max="12807" width="10.7109375" style="2" customWidth="1"/>
    <col min="12808" max="13056" width="11.42578125" style="2"/>
    <col min="13057" max="13057" width="20.7109375" style="2" customWidth="1"/>
    <col min="13058" max="13063" width="10.7109375" style="2" customWidth="1"/>
    <col min="13064" max="13312" width="11.42578125" style="2"/>
    <col min="13313" max="13313" width="20.7109375" style="2" customWidth="1"/>
    <col min="13314" max="13319" width="10.7109375" style="2" customWidth="1"/>
    <col min="13320" max="13568" width="11.42578125" style="2"/>
    <col min="13569" max="13569" width="20.7109375" style="2" customWidth="1"/>
    <col min="13570" max="13575" width="10.7109375" style="2" customWidth="1"/>
    <col min="13576" max="13824" width="11.42578125" style="2"/>
    <col min="13825" max="13825" width="20.7109375" style="2" customWidth="1"/>
    <col min="13826" max="13831" width="10.7109375" style="2" customWidth="1"/>
    <col min="13832" max="14080" width="11.42578125" style="2"/>
    <col min="14081" max="14081" width="20.7109375" style="2" customWidth="1"/>
    <col min="14082" max="14087" width="10.7109375" style="2" customWidth="1"/>
    <col min="14088" max="14336" width="11.42578125" style="2"/>
    <col min="14337" max="14337" width="20.7109375" style="2" customWidth="1"/>
    <col min="14338" max="14343" width="10.7109375" style="2" customWidth="1"/>
    <col min="14344" max="14592" width="11.42578125" style="2"/>
    <col min="14593" max="14593" width="20.7109375" style="2" customWidth="1"/>
    <col min="14594" max="14599" width="10.7109375" style="2" customWidth="1"/>
    <col min="14600" max="14848" width="11.42578125" style="2"/>
    <col min="14849" max="14849" width="20.7109375" style="2" customWidth="1"/>
    <col min="14850" max="14855" width="10.7109375" style="2" customWidth="1"/>
    <col min="14856" max="15104" width="11.42578125" style="2"/>
    <col min="15105" max="15105" width="20.7109375" style="2" customWidth="1"/>
    <col min="15106" max="15111" width="10.7109375" style="2" customWidth="1"/>
    <col min="15112" max="15360" width="11.42578125" style="2"/>
    <col min="15361" max="15361" width="20.7109375" style="2" customWidth="1"/>
    <col min="15362" max="15367" width="10.7109375" style="2" customWidth="1"/>
    <col min="15368" max="15616" width="11.42578125" style="2"/>
    <col min="15617" max="15617" width="20.7109375" style="2" customWidth="1"/>
    <col min="15618" max="15623" width="10.7109375" style="2" customWidth="1"/>
    <col min="15624" max="15872" width="11.42578125" style="2"/>
    <col min="15873" max="15873" width="20.7109375" style="2" customWidth="1"/>
    <col min="15874" max="15879" width="10.7109375" style="2" customWidth="1"/>
    <col min="15880" max="16128" width="11.42578125" style="2"/>
    <col min="16129" max="16129" width="20.7109375" style="2" customWidth="1"/>
    <col min="16130" max="16135" width="10.7109375" style="2" customWidth="1"/>
    <col min="16136" max="16384" width="11.42578125" style="2"/>
  </cols>
  <sheetData>
    <row r="1" spans="1:21" ht="14.25" x14ac:dyDescent="0.2">
      <c r="A1" s="39" t="s">
        <v>83</v>
      </c>
    </row>
    <row r="3" spans="1:21" x14ac:dyDescent="0.2">
      <c r="A3" s="4" t="s">
        <v>161</v>
      </c>
      <c r="B3" s="3"/>
      <c r="C3" s="3"/>
      <c r="D3" s="4" t="s">
        <v>162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3"/>
      <c r="Q4" s="3"/>
      <c r="R4" s="3"/>
      <c r="S4" s="3"/>
      <c r="T4" s="3"/>
      <c r="U4" s="3"/>
    </row>
    <row r="5" spans="1:21" x14ac:dyDescent="0.2">
      <c r="A5" s="3" t="s">
        <v>84</v>
      </c>
      <c r="B5" s="5">
        <v>400000</v>
      </c>
      <c r="C5" s="5"/>
      <c r="D5" s="5" t="s">
        <v>4</v>
      </c>
      <c r="E5" s="5">
        <v>950000</v>
      </c>
      <c r="F5" s="8" t="s">
        <v>85</v>
      </c>
      <c r="G5" s="5">
        <v>355000</v>
      </c>
      <c r="H5" s="5"/>
      <c r="I5" s="5"/>
      <c r="J5" s="5"/>
      <c r="K5" s="5"/>
      <c r="L5" s="5"/>
      <c r="M5" s="5"/>
      <c r="N5" s="5"/>
      <c r="O5" s="3"/>
      <c r="P5" s="3"/>
      <c r="Q5" s="3"/>
      <c r="R5" s="3"/>
      <c r="S5" s="3"/>
      <c r="T5" s="3"/>
      <c r="U5" s="3"/>
    </row>
    <row r="6" spans="1:21" x14ac:dyDescent="0.2">
      <c r="A6" s="6" t="s">
        <v>86</v>
      </c>
      <c r="B6" s="7">
        <v>240000</v>
      </c>
      <c r="C6" s="5"/>
      <c r="D6" s="5"/>
      <c r="E6" s="5"/>
      <c r="F6" s="8" t="s">
        <v>87</v>
      </c>
      <c r="G6" s="5">
        <v>180000</v>
      </c>
      <c r="H6" s="5"/>
      <c r="I6" s="5"/>
      <c r="J6" s="5"/>
      <c r="K6" s="5"/>
      <c r="L6" s="5"/>
      <c r="M6" s="5"/>
      <c r="N6" s="5"/>
      <c r="O6" s="3"/>
      <c r="P6" s="3"/>
      <c r="Q6" s="3"/>
      <c r="R6" s="3"/>
      <c r="S6" s="3"/>
      <c r="T6" s="3"/>
      <c r="U6" s="3"/>
    </row>
    <row r="7" spans="1:21" x14ac:dyDescent="0.2">
      <c r="A7" s="3" t="s">
        <v>88</v>
      </c>
      <c r="B7" s="5">
        <f>B5-B6</f>
        <v>160000</v>
      </c>
      <c r="C7" s="5"/>
      <c r="D7" s="5" t="s">
        <v>89</v>
      </c>
      <c r="E7" s="5">
        <v>390000</v>
      </c>
      <c r="F7" s="8" t="s">
        <v>90</v>
      </c>
      <c r="G7" s="5">
        <v>587000</v>
      </c>
      <c r="H7" s="5"/>
      <c r="I7" s="5"/>
      <c r="J7" s="5"/>
      <c r="K7" s="5"/>
      <c r="L7" s="5"/>
      <c r="M7" s="5"/>
      <c r="N7" s="5"/>
      <c r="O7" s="3"/>
      <c r="P7" s="3"/>
      <c r="Q7" s="3"/>
      <c r="R7" s="3"/>
      <c r="S7" s="3"/>
      <c r="T7" s="3"/>
      <c r="U7" s="3"/>
    </row>
    <row r="8" spans="1:21" x14ac:dyDescent="0.2">
      <c r="A8" s="3" t="s">
        <v>91</v>
      </c>
      <c r="B8" s="5">
        <v>45000</v>
      </c>
      <c r="C8" s="5"/>
      <c r="D8" s="5" t="s">
        <v>92</v>
      </c>
      <c r="E8" s="5">
        <v>410000</v>
      </c>
      <c r="F8" s="26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  <c r="T8" s="3"/>
      <c r="U8" s="3"/>
    </row>
    <row r="9" spans="1:21" x14ac:dyDescent="0.2">
      <c r="A9" s="3" t="s">
        <v>93</v>
      </c>
      <c r="B9" s="5">
        <v>80000</v>
      </c>
      <c r="C9" s="5"/>
      <c r="D9" s="5" t="s">
        <v>94</v>
      </c>
      <c r="E9" s="5">
        <v>15000</v>
      </c>
      <c r="F9" s="8" t="s">
        <v>95</v>
      </c>
      <c r="G9" s="5">
        <v>120000</v>
      </c>
      <c r="H9" s="5"/>
      <c r="I9" s="5"/>
      <c r="J9" s="5"/>
      <c r="K9" s="5"/>
      <c r="L9" s="5"/>
      <c r="M9" s="5"/>
      <c r="N9" s="5"/>
      <c r="O9" s="3"/>
      <c r="P9" s="3"/>
      <c r="Q9" s="3"/>
      <c r="R9" s="3"/>
      <c r="S9" s="3"/>
      <c r="T9" s="3"/>
      <c r="U9" s="3"/>
    </row>
    <row r="10" spans="1:21" x14ac:dyDescent="0.2">
      <c r="A10" s="6" t="s">
        <v>96</v>
      </c>
      <c r="B10" s="7">
        <v>8000</v>
      </c>
      <c r="C10" s="5"/>
      <c r="D10" s="5"/>
      <c r="E10" s="5"/>
      <c r="F10" s="8" t="s">
        <v>15</v>
      </c>
      <c r="G10" s="5">
        <v>186000</v>
      </c>
      <c r="H10" s="5"/>
      <c r="I10" s="5"/>
      <c r="J10" s="5"/>
      <c r="K10" s="5"/>
      <c r="L10" s="5"/>
      <c r="M10" s="5"/>
      <c r="N10" s="5"/>
      <c r="O10" s="3"/>
      <c r="P10" s="3"/>
      <c r="Q10" s="3"/>
      <c r="R10" s="3"/>
      <c r="S10" s="3"/>
      <c r="T10" s="3"/>
      <c r="U10" s="3"/>
    </row>
    <row r="11" spans="1:21" x14ac:dyDescent="0.2">
      <c r="A11" s="3" t="s">
        <v>23</v>
      </c>
      <c r="B11" s="5">
        <f>B7-B8-B9-B10</f>
        <v>27000</v>
      </c>
      <c r="C11" s="5"/>
      <c r="D11" s="5"/>
      <c r="E11" s="5"/>
      <c r="F11" s="8" t="s">
        <v>97</v>
      </c>
      <c r="G11" s="5">
        <v>40000</v>
      </c>
      <c r="H11" s="5"/>
      <c r="I11" s="5"/>
      <c r="J11" s="5"/>
      <c r="K11" s="5"/>
      <c r="L11" s="5"/>
      <c r="M11" s="5"/>
      <c r="N11" s="5"/>
      <c r="O11" s="3"/>
      <c r="P11" s="3"/>
      <c r="Q11" s="3"/>
      <c r="R11" s="3"/>
      <c r="S11" s="3"/>
      <c r="T11" s="3"/>
      <c r="U11" s="3"/>
    </row>
    <row r="12" spans="1:21" x14ac:dyDescent="0.2">
      <c r="A12" s="6" t="s">
        <v>98</v>
      </c>
      <c r="B12" s="7">
        <v>7000</v>
      </c>
      <c r="C12" s="5"/>
      <c r="D12" s="5"/>
      <c r="E12" s="5"/>
      <c r="F12" s="23" t="s">
        <v>99</v>
      </c>
      <c r="G12" s="5">
        <v>162000</v>
      </c>
      <c r="H12" s="5"/>
      <c r="I12" s="5"/>
      <c r="J12" s="5"/>
      <c r="K12" s="5"/>
      <c r="L12" s="5"/>
      <c r="M12" s="5"/>
      <c r="N12" s="5"/>
      <c r="O12" s="3"/>
      <c r="P12" s="3"/>
      <c r="Q12" s="3"/>
      <c r="R12" s="3"/>
      <c r="S12" s="3"/>
      <c r="T12" s="3"/>
      <c r="U12" s="3"/>
    </row>
    <row r="13" spans="1:21" x14ac:dyDescent="0.2">
      <c r="A13" s="3" t="s">
        <v>100</v>
      </c>
      <c r="B13" s="5">
        <f>B11-B12</f>
        <v>20000</v>
      </c>
      <c r="C13" s="5"/>
      <c r="D13" s="5"/>
      <c r="E13" s="5"/>
      <c r="F13" s="8" t="s">
        <v>101</v>
      </c>
      <c r="G13" s="5">
        <v>25000</v>
      </c>
      <c r="H13" s="5"/>
      <c r="I13" s="5"/>
      <c r="J13" s="5"/>
      <c r="K13" s="5"/>
      <c r="L13" s="5"/>
      <c r="M13" s="5"/>
      <c r="N13" s="5"/>
      <c r="O13" s="3"/>
      <c r="P13" s="3"/>
      <c r="Q13" s="3"/>
      <c r="R13" s="3"/>
      <c r="S13" s="3"/>
      <c r="T13" s="3"/>
      <c r="U13" s="3"/>
    </row>
    <row r="14" spans="1:21" x14ac:dyDescent="0.2">
      <c r="A14" s="6" t="s">
        <v>102</v>
      </c>
      <c r="B14" s="7">
        <f>B18*B13</f>
        <v>5400</v>
      </c>
      <c r="C14" s="5"/>
      <c r="D14" s="5"/>
      <c r="E14" s="5"/>
      <c r="F14" s="8" t="s">
        <v>103</v>
      </c>
      <c r="G14" s="5">
        <v>80000</v>
      </c>
      <c r="H14" s="5"/>
      <c r="I14" s="5"/>
      <c r="J14" s="5"/>
      <c r="K14" s="5"/>
      <c r="L14" s="5"/>
      <c r="M14" s="5"/>
      <c r="N14" s="5"/>
      <c r="O14" s="3"/>
      <c r="P14" s="3"/>
      <c r="Q14" s="3"/>
      <c r="R14" s="3"/>
      <c r="S14" s="3"/>
      <c r="T14" s="3"/>
      <c r="U14" s="3"/>
    </row>
    <row r="15" spans="1:21" x14ac:dyDescent="0.2">
      <c r="A15" s="31" t="s">
        <v>104</v>
      </c>
      <c r="B15" s="16">
        <f>B13-B14</f>
        <v>14600</v>
      </c>
      <c r="C15" s="5"/>
      <c r="D15" s="7"/>
      <c r="E15" s="7"/>
      <c r="F15" s="9" t="s">
        <v>105</v>
      </c>
      <c r="G15" s="7">
        <v>30000</v>
      </c>
      <c r="H15" s="5"/>
      <c r="I15" s="5"/>
      <c r="J15" s="5"/>
      <c r="K15" s="5"/>
      <c r="L15" s="5"/>
      <c r="M15" s="5"/>
      <c r="N15" s="5"/>
      <c r="O15" s="3"/>
      <c r="P15" s="3"/>
      <c r="Q15" s="3"/>
      <c r="R15" s="3"/>
      <c r="S15" s="3"/>
      <c r="T15" s="3"/>
      <c r="U15" s="3"/>
    </row>
    <row r="16" spans="1:21" x14ac:dyDescent="0.2">
      <c r="A16" s="3"/>
      <c r="B16" s="5"/>
      <c r="C16" s="5"/>
      <c r="D16" s="5" t="s">
        <v>106</v>
      </c>
      <c r="E16" s="5">
        <f>SUM(E5:E15)</f>
        <v>1765000</v>
      </c>
      <c r="F16" s="32" t="s">
        <v>107</v>
      </c>
      <c r="G16" s="5">
        <f>SUM(G5:G15)</f>
        <v>1765000</v>
      </c>
      <c r="H16" s="5"/>
      <c r="I16" s="5"/>
      <c r="J16" s="5"/>
      <c r="K16" s="5"/>
      <c r="L16" s="5"/>
      <c r="M16" s="5"/>
      <c r="N16" s="5"/>
      <c r="O16" s="3"/>
      <c r="P16" s="3"/>
      <c r="Q16" s="3"/>
      <c r="R16" s="3"/>
      <c r="S16" s="3"/>
      <c r="T16" s="3"/>
      <c r="U16" s="3"/>
    </row>
    <row r="17" spans="1:21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  <c r="Q17" s="3"/>
      <c r="R17" s="3"/>
      <c r="S17" s="3"/>
      <c r="T17" s="3"/>
      <c r="U17" s="3"/>
    </row>
    <row r="18" spans="1:21" x14ac:dyDescent="0.2">
      <c r="A18" s="3" t="s">
        <v>108</v>
      </c>
      <c r="B18" s="12">
        <v>0.27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  <c r="Q18" s="3"/>
      <c r="R18" s="3"/>
      <c r="S18" s="3"/>
      <c r="T18" s="3"/>
      <c r="U18" s="3"/>
    </row>
    <row r="19" spans="1:21" x14ac:dyDescent="0.2">
      <c r="A19" s="2" t="s">
        <v>45</v>
      </c>
      <c r="B19" s="12">
        <v>0.25</v>
      </c>
      <c r="C19" s="5"/>
      <c r="D19" s="3" t="s">
        <v>109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3"/>
      <c r="P19" s="3"/>
      <c r="Q19" s="3"/>
      <c r="R19" s="3"/>
      <c r="S19" s="3"/>
      <c r="T19" s="3"/>
      <c r="U19" s="3"/>
    </row>
    <row r="20" spans="1:21" x14ac:dyDescent="0.2">
      <c r="A20" s="3" t="s">
        <v>110</v>
      </c>
      <c r="B20" s="5">
        <v>400000</v>
      </c>
      <c r="C20" s="5"/>
      <c r="D20" s="3" t="s">
        <v>111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3"/>
      <c r="P20" s="3"/>
      <c r="Q20" s="3"/>
      <c r="R20" s="3"/>
      <c r="S20" s="3"/>
      <c r="T20" s="3"/>
      <c r="U20" s="3"/>
    </row>
    <row r="21" spans="1:21" x14ac:dyDescent="0.2">
      <c r="A21" s="3" t="s">
        <v>112</v>
      </c>
      <c r="B21" s="5">
        <v>30</v>
      </c>
      <c r="C21" s="5"/>
      <c r="D21" s="3" t="s">
        <v>113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3"/>
      <c r="P21" s="3"/>
      <c r="Q21" s="3"/>
      <c r="R21" s="3"/>
      <c r="S21" s="3"/>
      <c r="T21" s="3"/>
      <c r="U21" s="3"/>
    </row>
    <row r="22" spans="1:21" x14ac:dyDescent="0.2">
      <c r="A22" s="3" t="s">
        <v>114</v>
      </c>
      <c r="B22" s="5">
        <v>30</v>
      </c>
      <c r="C22" s="5"/>
      <c r="D22" s="3" t="s">
        <v>163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3"/>
      <c r="P22" s="3"/>
      <c r="Q22" s="3"/>
      <c r="R22" s="3"/>
      <c r="S22" s="3"/>
      <c r="T22" s="3"/>
      <c r="U22" s="3"/>
    </row>
    <row r="23" spans="1:21" x14ac:dyDescent="0.2">
      <c r="A23" s="3" t="s">
        <v>115</v>
      </c>
      <c r="B23" s="5"/>
      <c r="C23" s="5"/>
      <c r="D23" s="5" t="s">
        <v>116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3"/>
      <c r="P23" s="3"/>
      <c r="Q23" s="3"/>
      <c r="R23" s="3"/>
      <c r="S23" s="3"/>
      <c r="T23" s="3"/>
      <c r="U23" s="3"/>
    </row>
    <row r="24" spans="1:21" x14ac:dyDescent="0.2">
      <c r="A24" s="3"/>
      <c r="B24" s="5">
        <v>60000</v>
      </c>
      <c r="C24" s="5"/>
      <c r="D24" s="5" t="s">
        <v>117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3"/>
      <c r="P24" s="3"/>
      <c r="Q24" s="3"/>
      <c r="R24" s="3"/>
      <c r="S24" s="3"/>
      <c r="T24" s="3"/>
      <c r="U24" s="3"/>
    </row>
    <row r="25" spans="1:21" x14ac:dyDescent="0.2">
      <c r="A25" s="2" t="s">
        <v>10</v>
      </c>
      <c r="B25" s="33">
        <v>0.14099999999999999</v>
      </c>
      <c r="C25" s="5"/>
      <c r="D25" s="5" t="s">
        <v>118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3"/>
      <c r="P25" s="3"/>
      <c r="Q25" s="3"/>
      <c r="R25" s="3"/>
      <c r="S25" s="3"/>
      <c r="T25" s="3"/>
      <c r="U25" s="3"/>
    </row>
    <row r="26" spans="1:21" x14ac:dyDescent="0.2">
      <c r="A26" s="2" t="s">
        <v>119</v>
      </c>
      <c r="B26" s="33">
        <v>0.12</v>
      </c>
      <c r="C26" s="5"/>
      <c r="D26" s="5"/>
      <c r="E26" s="5"/>
      <c r="F26" s="5"/>
      <c r="G26" s="5">
        <v>15000</v>
      </c>
      <c r="H26" s="5"/>
      <c r="I26" s="5"/>
      <c r="J26" s="5"/>
      <c r="K26" s="5"/>
      <c r="L26" s="5"/>
      <c r="M26" s="5"/>
      <c r="N26" s="5"/>
      <c r="O26" s="3"/>
      <c r="P26" s="3"/>
      <c r="Q26" s="3"/>
      <c r="R26" s="3"/>
      <c r="S26" s="3"/>
      <c r="T26" s="3"/>
      <c r="U26" s="3"/>
    </row>
    <row r="27" spans="1:21" x14ac:dyDescent="0.2">
      <c r="A27" s="2" t="s">
        <v>120</v>
      </c>
      <c r="B27" s="5">
        <v>30000</v>
      </c>
      <c r="C27" s="5"/>
      <c r="D27" s="5" t="s">
        <v>121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P27" s="3"/>
      <c r="Q27" s="3"/>
      <c r="R27" s="3"/>
      <c r="S27" s="3"/>
      <c r="T27" s="3"/>
      <c r="U27" s="3"/>
    </row>
    <row r="28" spans="1:21" x14ac:dyDescent="0.2">
      <c r="A28" s="2" t="s">
        <v>122</v>
      </c>
      <c r="B28" s="5">
        <v>70000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/>
      <c r="P28" s="3"/>
      <c r="Q28" s="3"/>
      <c r="R28" s="3"/>
      <c r="S28" s="3"/>
      <c r="T28" s="3"/>
      <c r="U28" s="3"/>
    </row>
    <row r="29" spans="1:21" x14ac:dyDescent="0.2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/>
      <c r="P29" s="3"/>
      <c r="Q29" s="3"/>
      <c r="R29" s="3"/>
      <c r="S29" s="3"/>
      <c r="T29" s="3"/>
      <c r="U29" s="3"/>
    </row>
    <row r="30" spans="1:21" x14ac:dyDescent="0.2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/>
      <c r="P30" s="3"/>
      <c r="Q30" s="3"/>
      <c r="R30" s="3"/>
      <c r="S30" s="3"/>
      <c r="T30" s="3"/>
      <c r="U30" s="3"/>
    </row>
    <row r="31" spans="1:21" x14ac:dyDescent="0.2">
      <c r="A31" s="4" t="s">
        <v>123</v>
      </c>
      <c r="B31" s="5"/>
      <c r="C31" s="5"/>
      <c r="D31" s="5"/>
      <c r="F31" s="5"/>
      <c r="G31" s="5"/>
      <c r="H31" s="5"/>
      <c r="I31" s="5"/>
      <c r="J31" s="5"/>
      <c r="K31" s="5"/>
      <c r="L31" s="5"/>
      <c r="M31" s="5"/>
      <c r="N31" s="5"/>
      <c r="O31" s="3"/>
      <c r="P31" s="3"/>
      <c r="Q31" s="3"/>
      <c r="R31" s="3"/>
      <c r="S31" s="3"/>
      <c r="T31" s="3"/>
      <c r="U31" s="3"/>
    </row>
    <row r="32" spans="1:21" x14ac:dyDescent="0.2">
      <c r="A32" s="3"/>
      <c r="B32" s="5"/>
      <c r="C32" s="5"/>
      <c r="D32" s="5"/>
      <c r="E32" s="10" t="s">
        <v>124</v>
      </c>
      <c r="F32" s="5"/>
      <c r="G32" s="5"/>
      <c r="H32" s="5"/>
      <c r="I32" s="5"/>
      <c r="J32" s="5"/>
      <c r="K32" s="5"/>
      <c r="L32" s="5"/>
      <c r="M32" s="5"/>
      <c r="N32" s="5"/>
      <c r="O32" s="3"/>
      <c r="P32" s="3"/>
      <c r="Q32" s="3"/>
      <c r="R32" s="3"/>
      <c r="S32" s="3"/>
      <c r="T32" s="3"/>
      <c r="U32" s="3"/>
    </row>
    <row r="33" spans="1:21" x14ac:dyDescent="0.2">
      <c r="A33" s="34" t="s">
        <v>125</v>
      </c>
      <c r="B33" s="35" t="s">
        <v>126</v>
      </c>
      <c r="C33" s="35" t="s">
        <v>55</v>
      </c>
      <c r="D33" s="5"/>
      <c r="E33" s="5" t="s">
        <v>127</v>
      </c>
      <c r="G33" s="5">
        <f>B9</f>
        <v>80000</v>
      </c>
      <c r="H33" s="5"/>
      <c r="I33" s="5"/>
      <c r="J33" s="5"/>
      <c r="K33" s="5"/>
      <c r="L33" s="5"/>
      <c r="M33" s="5"/>
      <c r="N33" s="5"/>
      <c r="O33" s="3"/>
      <c r="P33" s="3"/>
      <c r="Q33" s="3"/>
      <c r="R33" s="3"/>
      <c r="S33" s="3"/>
      <c r="T33" s="3"/>
      <c r="U33" s="3"/>
    </row>
    <row r="34" spans="1:21" x14ac:dyDescent="0.2">
      <c r="A34" s="3" t="s">
        <v>128</v>
      </c>
      <c r="B34" s="5">
        <f>E8</f>
        <v>410000</v>
      </c>
      <c r="C34" s="5"/>
      <c r="D34" s="5"/>
      <c r="E34" s="7" t="s">
        <v>129</v>
      </c>
      <c r="F34" s="21"/>
      <c r="G34" s="7">
        <f>G33*B25/(1+B25)</f>
        <v>9886.0648553900064</v>
      </c>
      <c r="H34" s="5"/>
      <c r="I34" s="5"/>
      <c r="J34" s="5"/>
      <c r="K34" s="5"/>
      <c r="L34" s="5"/>
      <c r="M34" s="5"/>
      <c r="N34" s="5"/>
      <c r="O34" s="3"/>
      <c r="P34" s="3"/>
      <c r="Q34" s="3"/>
      <c r="R34" s="3"/>
      <c r="S34" s="3"/>
      <c r="T34" s="3"/>
      <c r="U34" s="3"/>
    </row>
    <row r="35" spans="1:21" x14ac:dyDescent="0.2">
      <c r="A35" s="3" t="s">
        <v>130</v>
      </c>
      <c r="B35" s="5"/>
      <c r="C35" s="5">
        <f>B5*(1+B19)</f>
        <v>500000</v>
      </c>
      <c r="D35" s="5"/>
      <c r="E35" s="5" t="s">
        <v>131</v>
      </c>
      <c r="G35" s="5">
        <f>G33-G34</f>
        <v>70113.93514460999</v>
      </c>
      <c r="H35" s="5"/>
      <c r="I35" s="5"/>
      <c r="J35" s="5"/>
      <c r="K35" s="5"/>
      <c r="L35" s="5"/>
      <c r="M35" s="5"/>
      <c r="N35" s="5"/>
      <c r="O35" s="3"/>
      <c r="P35" s="3"/>
      <c r="Q35" s="3"/>
      <c r="R35" s="3"/>
      <c r="S35" s="3"/>
      <c r="T35" s="3"/>
      <c r="U35" s="3"/>
    </row>
    <row r="36" spans="1:21" x14ac:dyDescent="0.2">
      <c r="A36" s="31" t="s">
        <v>132</v>
      </c>
      <c r="B36" s="16">
        <f>SUM(B34:B35)</f>
        <v>410000</v>
      </c>
      <c r="C36" s="19"/>
      <c r="D36" s="5"/>
      <c r="E36" s="7" t="s">
        <v>133</v>
      </c>
      <c r="F36" s="21"/>
      <c r="G36" s="7">
        <f>G35*B26/(1+B26)</f>
        <v>7512.2073369224972</v>
      </c>
      <c r="H36" s="5"/>
      <c r="I36" s="5"/>
      <c r="J36" s="5"/>
      <c r="K36" s="5"/>
      <c r="L36" s="5"/>
      <c r="M36" s="5"/>
      <c r="N36" s="5"/>
      <c r="O36" s="3"/>
      <c r="P36" s="3"/>
      <c r="Q36" s="3"/>
      <c r="R36" s="3"/>
      <c r="S36" s="3"/>
      <c r="T36" s="3"/>
      <c r="U36" s="3"/>
    </row>
    <row r="37" spans="1:21" x14ac:dyDescent="0.2">
      <c r="A37" s="34" t="s">
        <v>134</v>
      </c>
      <c r="B37" s="5"/>
      <c r="C37" s="5"/>
      <c r="D37" s="5"/>
      <c r="E37" s="5" t="s">
        <v>135</v>
      </c>
      <c r="G37" s="5">
        <f>G35-G36</f>
        <v>62601.727807687494</v>
      </c>
      <c r="H37" s="5"/>
      <c r="I37" s="5"/>
      <c r="J37" s="5"/>
      <c r="K37" s="5"/>
      <c r="L37" s="5"/>
      <c r="M37" s="5"/>
      <c r="N37" s="5"/>
      <c r="O37" s="3"/>
      <c r="P37" s="3"/>
      <c r="Q37" s="3"/>
      <c r="R37" s="3"/>
      <c r="S37" s="3"/>
      <c r="T37" s="3"/>
      <c r="U37" s="3"/>
    </row>
    <row r="38" spans="1:21" x14ac:dyDescent="0.2">
      <c r="A38" s="3" t="s">
        <v>136</v>
      </c>
      <c r="B38" s="5">
        <f>G10</f>
        <v>186000</v>
      </c>
      <c r="C38" s="5">
        <f>B24*(1+B19)</f>
        <v>75000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/>
      <c r="P38" s="3"/>
      <c r="Q38" s="3"/>
      <c r="R38" s="3"/>
      <c r="S38" s="3"/>
      <c r="T38" s="3"/>
      <c r="U38" s="3"/>
    </row>
    <row r="39" spans="1:21" x14ac:dyDescent="0.2">
      <c r="A39" s="3" t="s">
        <v>137</v>
      </c>
      <c r="B39" s="5">
        <f>G37</f>
        <v>62601.727807687494</v>
      </c>
      <c r="C39" s="5"/>
      <c r="D39" s="5"/>
      <c r="E39" s="10" t="s">
        <v>138</v>
      </c>
      <c r="F39" s="5"/>
      <c r="G39" s="5"/>
      <c r="H39" s="5"/>
      <c r="I39" s="5"/>
      <c r="J39" s="5"/>
      <c r="K39" s="5"/>
      <c r="L39" s="5"/>
      <c r="M39" s="5"/>
      <c r="N39" s="5"/>
      <c r="O39" s="3"/>
      <c r="P39" s="3"/>
      <c r="Q39" s="3"/>
      <c r="R39" s="3"/>
      <c r="S39" s="3"/>
      <c r="T39" s="3"/>
      <c r="U39" s="3"/>
    </row>
    <row r="40" spans="1:21" x14ac:dyDescent="0.2">
      <c r="A40" s="2" t="s">
        <v>139</v>
      </c>
      <c r="B40" s="5">
        <f>G26</f>
        <v>15000</v>
      </c>
      <c r="C40" s="5">
        <f>G34</f>
        <v>9886.0648553900064</v>
      </c>
      <c r="D40" s="5"/>
      <c r="E40" s="5" t="s">
        <v>140</v>
      </c>
      <c r="F40" s="5"/>
      <c r="G40" s="5">
        <f>B19*B5</f>
        <v>100000</v>
      </c>
      <c r="H40" s="5"/>
      <c r="I40" s="5"/>
      <c r="J40" s="5"/>
      <c r="K40" s="5"/>
      <c r="L40" s="5"/>
      <c r="M40" s="5"/>
      <c r="N40" s="5"/>
      <c r="O40" s="3"/>
      <c r="P40" s="3"/>
      <c r="Q40" s="3"/>
      <c r="R40" s="3"/>
      <c r="S40" s="3"/>
      <c r="T40" s="3"/>
      <c r="U40" s="3"/>
    </row>
    <row r="41" spans="1:21" x14ac:dyDescent="0.2">
      <c r="A41" s="2" t="s">
        <v>141</v>
      </c>
      <c r="B41" s="5"/>
      <c r="C41" s="5">
        <f>G43+G12</f>
        <v>235750</v>
      </c>
      <c r="D41" s="5"/>
      <c r="E41" s="5" t="s">
        <v>142</v>
      </c>
      <c r="F41" s="5"/>
      <c r="G41" s="5">
        <f>B19*B8</f>
        <v>11250</v>
      </c>
      <c r="H41" s="5"/>
      <c r="I41" s="5"/>
      <c r="J41" s="5"/>
      <c r="K41" s="5"/>
      <c r="L41" s="5"/>
      <c r="M41" s="5"/>
      <c r="N41" s="5"/>
      <c r="O41" s="3"/>
      <c r="P41" s="3"/>
      <c r="Q41" s="3"/>
      <c r="R41" s="3"/>
      <c r="S41" s="3"/>
      <c r="T41" s="3"/>
      <c r="U41" s="3"/>
    </row>
    <row r="42" spans="1:21" x14ac:dyDescent="0.2">
      <c r="A42" s="3" t="s">
        <v>143</v>
      </c>
      <c r="B42" s="5">
        <f>B8*(1+B19)</f>
        <v>56250</v>
      </c>
      <c r="C42" s="5"/>
      <c r="D42" s="5"/>
      <c r="E42" s="7" t="s">
        <v>144</v>
      </c>
      <c r="F42" s="7"/>
      <c r="G42" s="7">
        <f>B19*B24</f>
        <v>15000</v>
      </c>
      <c r="H42" s="5"/>
      <c r="I42" s="5"/>
      <c r="J42" s="5"/>
      <c r="K42" s="5"/>
      <c r="L42" s="5"/>
      <c r="M42" s="5"/>
      <c r="N42" s="5"/>
      <c r="O42" s="3"/>
      <c r="P42" s="3"/>
      <c r="Q42" s="3"/>
      <c r="R42" s="3"/>
      <c r="S42" s="3"/>
      <c r="T42" s="3"/>
      <c r="U42" s="3"/>
    </row>
    <row r="43" spans="1:21" x14ac:dyDescent="0.2">
      <c r="A43" s="31" t="s">
        <v>145</v>
      </c>
      <c r="B43" s="16">
        <f>SUM(B38:B42)</f>
        <v>319851.72780768748</v>
      </c>
      <c r="C43" s="19"/>
      <c r="D43" s="5"/>
      <c r="E43" s="5" t="s">
        <v>146</v>
      </c>
      <c r="F43" s="5"/>
      <c r="G43" s="5">
        <f>G40-G41-G42</f>
        <v>73750</v>
      </c>
      <c r="H43" s="5"/>
      <c r="I43" s="5"/>
      <c r="J43" s="5"/>
      <c r="K43" s="5"/>
      <c r="L43" s="5"/>
      <c r="M43" s="5"/>
      <c r="N43" s="5"/>
      <c r="O43" s="3"/>
      <c r="P43" s="3"/>
      <c r="Q43" s="3"/>
      <c r="R43" s="3"/>
      <c r="S43" s="3"/>
      <c r="T43" s="3"/>
      <c r="U43" s="3"/>
    </row>
    <row r="44" spans="1:21" x14ac:dyDescent="0.2">
      <c r="A44" s="36" t="s">
        <v>147</v>
      </c>
      <c r="B44" s="28">
        <f>B36-B43</f>
        <v>90148.272192312521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/>
      <c r="P44" s="3"/>
      <c r="Q44" s="3"/>
      <c r="R44" s="3"/>
      <c r="S44" s="3"/>
      <c r="T44" s="3"/>
      <c r="U44" s="3"/>
    </row>
    <row r="45" spans="1:21" x14ac:dyDescent="0.2">
      <c r="A45" s="34" t="s">
        <v>148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/>
      <c r="P45" s="3"/>
      <c r="Q45" s="3"/>
      <c r="R45" s="3"/>
      <c r="S45" s="3"/>
      <c r="T45" s="3"/>
      <c r="U45" s="3"/>
    </row>
    <row r="46" spans="1:21" x14ac:dyDescent="0.2">
      <c r="A46" s="3" t="s">
        <v>149</v>
      </c>
      <c r="B46" s="5">
        <f>B28</f>
        <v>70000</v>
      </c>
      <c r="C46" s="5"/>
      <c r="D46" s="5"/>
      <c r="E46" s="10" t="s">
        <v>265</v>
      </c>
      <c r="F46" s="5"/>
      <c r="G46" s="5"/>
      <c r="H46" s="5"/>
      <c r="I46" s="5"/>
      <c r="J46" s="5"/>
      <c r="K46" s="5"/>
      <c r="L46" s="5"/>
      <c r="M46" s="5"/>
      <c r="N46" s="5"/>
      <c r="O46" s="3"/>
      <c r="P46" s="3"/>
      <c r="Q46" s="3"/>
      <c r="R46" s="3"/>
      <c r="S46" s="3"/>
      <c r="T46" s="3"/>
      <c r="U46" s="3"/>
    </row>
    <row r="47" spans="1:21" x14ac:dyDescent="0.2">
      <c r="A47" s="2" t="s">
        <v>150</v>
      </c>
      <c r="B47" s="5">
        <f>B27</f>
        <v>30000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3"/>
      <c r="P47" s="3"/>
      <c r="Q47" s="3"/>
      <c r="R47" s="3"/>
      <c r="S47" s="3"/>
      <c r="T47" s="3"/>
      <c r="U47" s="3"/>
    </row>
    <row r="48" spans="1:21" x14ac:dyDescent="0.2">
      <c r="A48" s="31" t="s">
        <v>151</v>
      </c>
      <c r="B48" s="16">
        <f>SUM(B46:B47)</f>
        <v>100000</v>
      </c>
      <c r="C48" s="5"/>
      <c r="D48" s="5"/>
      <c r="E48" s="5" t="s">
        <v>4</v>
      </c>
      <c r="F48" s="5">
        <f>E5-B10</f>
        <v>942000</v>
      </c>
      <c r="G48" s="8" t="s">
        <v>85</v>
      </c>
      <c r="H48" s="5">
        <f>G5</f>
        <v>355000</v>
      </c>
      <c r="I48" s="5"/>
      <c r="J48" s="5"/>
      <c r="K48" s="5"/>
      <c r="L48" s="5"/>
      <c r="M48" s="5"/>
      <c r="N48" s="5"/>
      <c r="O48" s="3"/>
      <c r="P48" s="3"/>
      <c r="Q48" s="3"/>
      <c r="R48" s="3"/>
      <c r="S48" s="3"/>
      <c r="T48" s="3"/>
      <c r="U48" s="3"/>
    </row>
    <row r="49" spans="1:21" x14ac:dyDescent="0.2">
      <c r="A49" s="36" t="s">
        <v>152</v>
      </c>
      <c r="B49" s="37">
        <f>-B46-B47</f>
        <v>-100000</v>
      </c>
      <c r="C49" s="5"/>
      <c r="D49" s="5"/>
      <c r="E49" s="5"/>
      <c r="F49" s="5"/>
      <c r="G49" s="8" t="s">
        <v>87</v>
      </c>
      <c r="H49" s="5">
        <f>G6</f>
        <v>180000</v>
      </c>
      <c r="I49" s="5"/>
      <c r="J49" s="5"/>
      <c r="K49" s="5"/>
      <c r="L49" s="5"/>
      <c r="M49" s="5"/>
      <c r="N49" s="5"/>
      <c r="O49" s="3"/>
      <c r="P49" s="3"/>
      <c r="Q49" s="3"/>
      <c r="R49" s="3"/>
      <c r="S49" s="3"/>
      <c r="T49" s="3"/>
      <c r="U49" s="3"/>
    </row>
    <row r="50" spans="1:21" x14ac:dyDescent="0.2">
      <c r="A50" s="4" t="s">
        <v>153</v>
      </c>
      <c r="B50" s="5">
        <f>B44+B49</f>
        <v>-9851.7278076874791</v>
      </c>
      <c r="C50" s="5"/>
      <c r="D50" s="5"/>
      <c r="E50" s="5" t="s">
        <v>89</v>
      </c>
      <c r="F50" s="5">
        <f>B61</f>
        <v>210000</v>
      </c>
      <c r="G50" s="23" t="s">
        <v>154</v>
      </c>
      <c r="H50" s="5">
        <f>B15</f>
        <v>14600</v>
      </c>
      <c r="I50" s="5"/>
      <c r="J50" s="5"/>
      <c r="K50" s="5"/>
      <c r="L50" s="5"/>
      <c r="M50" s="5"/>
      <c r="N50" s="5"/>
      <c r="O50" s="3"/>
      <c r="P50" s="3"/>
      <c r="Q50" s="3"/>
      <c r="R50" s="3"/>
      <c r="S50" s="3"/>
      <c r="T50" s="3"/>
      <c r="U50" s="3"/>
    </row>
    <row r="51" spans="1:21" x14ac:dyDescent="0.2">
      <c r="B51" s="5"/>
      <c r="C51" s="5"/>
      <c r="D51" s="5"/>
      <c r="E51" s="5" t="s">
        <v>92</v>
      </c>
      <c r="F51" s="5">
        <f>C35</f>
        <v>500000</v>
      </c>
      <c r="G51" s="8" t="s">
        <v>90</v>
      </c>
      <c r="H51" s="5">
        <f>G7-B28</f>
        <v>517000</v>
      </c>
      <c r="I51" s="5"/>
      <c r="J51" s="5"/>
      <c r="K51" s="5"/>
      <c r="L51" s="5"/>
      <c r="M51" s="5"/>
      <c r="N51" s="5"/>
      <c r="O51" s="3"/>
      <c r="P51" s="3"/>
      <c r="Q51" s="3"/>
      <c r="R51" s="3"/>
      <c r="S51" s="3"/>
      <c r="T51" s="3"/>
      <c r="U51" s="3"/>
    </row>
    <row r="52" spans="1:21" x14ac:dyDescent="0.2">
      <c r="A52" s="3" t="s">
        <v>155</v>
      </c>
      <c r="B52" s="5">
        <f>-G9+E9</f>
        <v>-105000</v>
      </c>
      <c r="C52" s="5"/>
      <c r="D52" s="5"/>
      <c r="E52" s="5" t="s">
        <v>94</v>
      </c>
      <c r="F52" s="38">
        <v>0</v>
      </c>
      <c r="G52" s="26"/>
      <c r="H52" s="5"/>
      <c r="I52" s="5"/>
      <c r="J52" s="5"/>
      <c r="K52" s="5"/>
      <c r="L52" s="5"/>
      <c r="M52" s="5"/>
      <c r="N52" s="5"/>
      <c r="O52" s="3"/>
      <c r="P52" s="3"/>
      <c r="Q52" s="3"/>
      <c r="R52" s="3"/>
      <c r="S52" s="3"/>
      <c r="T52" s="3"/>
      <c r="U52" s="3"/>
    </row>
    <row r="53" spans="1:21" x14ac:dyDescent="0.2">
      <c r="A53" s="3" t="s">
        <v>156</v>
      </c>
      <c r="B53" s="5">
        <f>B52+B50</f>
        <v>-114851.72780768748</v>
      </c>
      <c r="C53" s="5">
        <f>-B53</f>
        <v>114851.72780768748</v>
      </c>
      <c r="D53" s="5"/>
      <c r="E53" s="5"/>
      <c r="F53" s="5"/>
      <c r="G53" s="8" t="s">
        <v>95</v>
      </c>
      <c r="H53" s="5">
        <f>C53</f>
        <v>114851.72780768748</v>
      </c>
      <c r="I53" s="5"/>
      <c r="J53" s="5"/>
      <c r="K53" s="5"/>
      <c r="L53" s="5"/>
      <c r="M53" s="5"/>
      <c r="N53" s="5"/>
      <c r="O53" s="3"/>
      <c r="P53" s="3"/>
      <c r="Q53" s="3"/>
      <c r="R53" s="3"/>
      <c r="S53" s="3"/>
      <c r="T53" s="3"/>
      <c r="U53" s="3"/>
    </row>
    <row r="54" spans="1:21" x14ac:dyDescent="0.2">
      <c r="A54" s="3" t="s">
        <v>157</v>
      </c>
      <c r="B54" s="5">
        <f>B20+B53</f>
        <v>285148.27219231252</v>
      </c>
      <c r="C54" s="5"/>
      <c r="D54" s="5"/>
      <c r="E54" s="5"/>
      <c r="F54" s="5"/>
      <c r="G54" s="8" t="s">
        <v>15</v>
      </c>
      <c r="H54" s="5">
        <f>C38</f>
        <v>75000</v>
      </c>
      <c r="I54" s="5"/>
      <c r="J54" s="5"/>
      <c r="K54" s="5"/>
      <c r="L54" s="5"/>
      <c r="M54" s="5"/>
      <c r="N54" s="5"/>
      <c r="O54" s="3"/>
      <c r="P54" s="3"/>
      <c r="Q54" s="3"/>
      <c r="R54" s="3"/>
      <c r="S54" s="3"/>
      <c r="T54" s="3"/>
      <c r="U54" s="3"/>
    </row>
    <row r="55" spans="1:21" x14ac:dyDescent="0.2">
      <c r="A55" s="6"/>
      <c r="B55" s="7"/>
      <c r="C55" s="7"/>
      <c r="D55" s="5"/>
      <c r="E55" s="5"/>
      <c r="F55" s="5"/>
      <c r="G55" s="8" t="s">
        <v>97</v>
      </c>
      <c r="H55" s="5">
        <f>G11+B14</f>
        <v>45400</v>
      </c>
      <c r="I55" s="5"/>
      <c r="J55" s="5"/>
      <c r="K55" s="5"/>
      <c r="L55" s="5"/>
      <c r="M55" s="5"/>
      <c r="N55" s="5"/>
      <c r="O55" s="3"/>
      <c r="P55" s="3"/>
      <c r="Q55" s="3"/>
      <c r="R55" s="3"/>
      <c r="S55" s="3"/>
      <c r="T55" s="3"/>
      <c r="U55" s="3"/>
    </row>
    <row r="56" spans="1:21" x14ac:dyDescent="0.2">
      <c r="B56" s="5"/>
      <c r="C56" s="5"/>
      <c r="D56" s="5"/>
      <c r="E56" s="5"/>
      <c r="F56" s="5"/>
      <c r="G56" s="23" t="s">
        <v>99</v>
      </c>
      <c r="H56" s="5">
        <f>G12+G43</f>
        <v>235750</v>
      </c>
      <c r="I56" s="5"/>
      <c r="J56" s="5"/>
      <c r="K56" s="5"/>
      <c r="L56" s="5"/>
      <c r="M56" s="5"/>
      <c r="N56" s="5"/>
      <c r="O56" s="3"/>
      <c r="P56" s="3"/>
      <c r="Q56" s="3"/>
      <c r="R56" s="3"/>
      <c r="S56" s="3"/>
      <c r="T56" s="3"/>
      <c r="U56" s="3"/>
    </row>
    <row r="57" spans="1:21" x14ac:dyDescent="0.2">
      <c r="A57" s="1" t="s">
        <v>158</v>
      </c>
      <c r="B57" s="5"/>
      <c r="C57" s="5"/>
      <c r="D57" s="5"/>
      <c r="E57" s="5"/>
      <c r="F57" s="5"/>
      <c r="G57" s="8" t="s">
        <v>101</v>
      </c>
      <c r="H57" s="5">
        <f>G13-B40+C40</f>
        <v>19886.064855390006</v>
      </c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</row>
    <row r="58" spans="1:21" x14ac:dyDescent="0.2">
      <c r="A58" s="2" t="s">
        <v>51</v>
      </c>
      <c r="B58" s="5">
        <f>E7</f>
        <v>390000</v>
      </c>
      <c r="C58" s="5"/>
      <c r="D58" s="5"/>
      <c r="G58" s="8" t="s">
        <v>103</v>
      </c>
      <c r="H58" s="19">
        <f>G14+G36</f>
        <v>87512.207336922496</v>
      </c>
      <c r="I58" s="5"/>
      <c r="J58" s="5"/>
      <c r="K58" s="5"/>
      <c r="L58" s="5"/>
      <c r="M58" s="5"/>
      <c r="N58" s="5"/>
      <c r="O58" s="3"/>
      <c r="P58" s="3"/>
      <c r="Q58" s="3"/>
      <c r="R58" s="3"/>
      <c r="S58" s="3"/>
      <c r="T58" s="3"/>
      <c r="U58" s="3"/>
    </row>
    <row r="59" spans="1:21" x14ac:dyDescent="0.2">
      <c r="A59" s="3" t="s">
        <v>159</v>
      </c>
      <c r="B59" s="5">
        <f>B24</f>
        <v>60000</v>
      </c>
      <c r="C59" s="5"/>
      <c r="D59" s="5"/>
      <c r="E59" s="7"/>
      <c r="F59" s="7"/>
      <c r="G59" s="9" t="s">
        <v>105</v>
      </c>
      <c r="H59" s="7">
        <f>G15-B27+B12</f>
        <v>7000</v>
      </c>
      <c r="I59" s="5"/>
      <c r="J59" s="5"/>
      <c r="K59" s="5"/>
      <c r="L59" s="5"/>
      <c r="M59" s="5"/>
      <c r="N59" s="5"/>
      <c r="O59" s="3"/>
      <c r="P59" s="3"/>
      <c r="Q59" s="3"/>
      <c r="R59" s="3"/>
      <c r="S59" s="3"/>
      <c r="T59" s="3"/>
      <c r="U59" s="3"/>
    </row>
    <row r="60" spans="1:21" x14ac:dyDescent="0.2">
      <c r="A60" s="3" t="s">
        <v>160</v>
      </c>
      <c r="B60" s="5">
        <f>B6</f>
        <v>240000</v>
      </c>
      <c r="C60" s="5"/>
      <c r="D60" s="5"/>
      <c r="E60" s="28" t="s">
        <v>30</v>
      </c>
      <c r="F60" s="28">
        <f>SUM(F48:F59)</f>
        <v>1652000</v>
      </c>
      <c r="G60" s="27" t="s">
        <v>31</v>
      </c>
      <c r="H60" s="28">
        <f>SUM(H48:H59)</f>
        <v>1652000</v>
      </c>
      <c r="I60" s="5"/>
      <c r="J60" s="5"/>
      <c r="K60" s="5"/>
      <c r="L60" s="5"/>
      <c r="M60" s="5"/>
      <c r="N60" s="5"/>
      <c r="O60" s="3"/>
      <c r="P60" s="3"/>
      <c r="Q60" s="3"/>
      <c r="R60" s="3"/>
      <c r="S60" s="3"/>
      <c r="T60" s="3"/>
      <c r="U60" s="3"/>
    </row>
    <row r="61" spans="1:21" x14ac:dyDescent="0.2">
      <c r="A61" s="3" t="s">
        <v>55</v>
      </c>
      <c r="B61" s="5">
        <f>B58+B59-B60</f>
        <v>210000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/>
      <c r="P61" s="3"/>
      <c r="Q61" s="3"/>
      <c r="R61" s="3"/>
      <c r="S61" s="3"/>
      <c r="T61" s="3"/>
      <c r="U61" s="3"/>
    </row>
    <row r="62" spans="1:21" x14ac:dyDescent="0.2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/>
      <c r="P62" s="3"/>
      <c r="Q62" s="3"/>
      <c r="R62" s="3"/>
      <c r="S62" s="3"/>
      <c r="T62" s="3"/>
      <c r="U62" s="3"/>
    </row>
    <row r="63" spans="1:21" x14ac:dyDescent="0.2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"/>
      <c r="P63" s="3"/>
      <c r="Q63" s="3"/>
      <c r="R63" s="3"/>
      <c r="S63" s="3"/>
      <c r="T63" s="3"/>
      <c r="U63" s="3"/>
    </row>
    <row r="64" spans="1:21" x14ac:dyDescent="0.2">
      <c r="A64" s="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/>
      <c r="P64" s="3"/>
      <c r="Q64" s="3"/>
      <c r="R64" s="3"/>
      <c r="S64" s="3"/>
      <c r="T64" s="3"/>
      <c r="U64" s="3"/>
    </row>
    <row r="65" spans="1:21" x14ac:dyDescent="0.2">
      <c r="A65" s="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/>
      <c r="P65" s="3"/>
      <c r="Q65" s="3"/>
      <c r="R65" s="3"/>
      <c r="S65" s="3"/>
      <c r="T65" s="3"/>
      <c r="U65" s="3"/>
    </row>
    <row r="66" spans="1:21" x14ac:dyDescent="0.2">
      <c r="A66" s="3"/>
      <c r="F66" s="5"/>
      <c r="G66" s="5"/>
      <c r="H66" s="5"/>
      <c r="I66" s="5"/>
      <c r="J66" s="5"/>
      <c r="K66" s="5"/>
      <c r="L66" s="5"/>
      <c r="M66" s="5"/>
      <c r="N66" s="5"/>
      <c r="O66" s="3"/>
      <c r="P66" s="3"/>
      <c r="Q66" s="3"/>
      <c r="R66" s="3"/>
      <c r="S66" s="3"/>
      <c r="T66" s="3"/>
      <c r="U66" s="3"/>
    </row>
    <row r="67" spans="1:21" x14ac:dyDescent="0.2">
      <c r="A67" s="3"/>
      <c r="F67" s="5"/>
      <c r="G67" s="5"/>
      <c r="H67" s="5"/>
      <c r="I67" s="5"/>
      <c r="J67" s="5"/>
      <c r="K67" s="5"/>
      <c r="L67" s="5"/>
      <c r="M67" s="5"/>
      <c r="N67" s="5"/>
      <c r="O67" s="3"/>
      <c r="P67" s="3"/>
      <c r="Q67" s="3"/>
      <c r="R67" s="3"/>
      <c r="S67" s="3"/>
      <c r="T67" s="3"/>
      <c r="U67" s="3"/>
    </row>
    <row r="68" spans="1:21" x14ac:dyDescent="0.2">
      <c r="A68" s="3"/>
      <c r="F68" s="5"/>
      <c r="G68" s="5"/>
      <c r="H68" s="5"/>
      <c r="I68" s="5"/>
      <c r="J68" s="5"/>
      <c r="K68" s="5"/>
      <c r="L68" s="5"/>
      <c r="M68" s="5"/>
      <c r="N68" s="5"/>
      <c r="O68" s="3"/>
      <c r="P68" s="3"/>
      <c r="Q68" s="3"/>
      <c r="R68" s="3"/>
      <c r="S68" s="3"/>
      <c r="T68" s="3"/>
      <c r="U68" s="3"/>
    </row>
    <row r="69" spans="1:21" x14ac:dyDescent="0.2">
      <c r="A69" s="3"/>
      <c r="F69" s="5"/>
      <c r="G69" s="5"/>
      <c r="H69" s="5"/>
      <c r="I69" s="5"/>
      <c r="J69" s="5"/>
      <c r="K69" s="5"/>
      <c r="L69" s="5"/>
      <c r="M69" s="5"/>
      <c r="N69" s="5"/>
      <c r="O69" s="3"/>
      <c r="P69" s="3"/>
      <c r="Q69" s="3"/>
      <c r="R69" s="3"/>
      <c r="S69" s="3"/>
      <c r="T69" s="3"/>
      <c r="U69" s="3"/>
    </row>
    <row r="70" spans="1:21" x14ac:dyDescent="0.2">
      <c r="A70" s="3"/>
      <c r="F70" s="5"/>
      <c r="G70" s="5"/>
      <c r="H70" s="5"/>
      <c r="I70" s="5"/>
      <c r="J70" s="5"/>
      <c r="K70" s="5"/>
      <c r="L70" s="5"/>
      <c r="M70" s="5"/>
      <c r="N70" s="5"/>
      <c r="O70" s="3"/>
      <c r="P70" s="3"/>
      <c r="Q70" s="3"/>
      <c r="R70" s="3"/>
      <c r="S70" s="3"/>
      <c r="T70" s="3"/>
      <c r="U70" s="3"/>
    </row>
    <row r="71" spans="1:21" x14ac:dyDescent="0.2">
      <c r="A71" s="3"/>
      <c r="F71" s="5"/>
      <c r="G71" s="5"/>
      <c r="H71" s="5"/>
      <c r="I71" s="5"/>
      <c r="J71" s="5"/>
      <c r="K71" s="5"/>
      <c r="L71" s="5"/>
      <c r="M71" s="5"/>
      <c r="N71" s="5"/>
      <c r="O71" s="3"/>
      <c r="P71" s="3"/>
      <c r="Q71" s="3"/>
      <c r="R71" s="3"/>
      <c r="S71" s="3"/>
      <c r="T71" s="3"/>
      <c r="U71" s="3"/>
    </row>
    <row r="72" spans="1:21" x14ac:dyDescent="0.2">
      <c r="A72" s="3"/>
      <c r="F72" s="5"/>
      <c r="G72" s="5"/>
      <c r="H72" s="5"/>
      <c r="I72" s="5"/>
      <c r="J72" s="5"/>
      <c r="K72" s="5"/>
      <c r="L72" s="5"/>
      <c r="M72" s="5"/>
      <c r="N72" s="5"/>
      <c r="O72" s="3"/>
      <c r="P72" s="3"/>
      <c r="Q72" s="3"/>
      <c r="R72" s="3"/>
      <c r="S72" s="3"/>
      <c r="T72" s="3"/>
      <c r="U72" s="3"/>
    </row>
    <row r="73" spans="1:21" x14ac:dyDescent="0.2">
      <c r="A73" s="3"/>
      <c r="F73" s="5"/>
      <c r="G73" s="5"/>
      <c r="H73" s="5"/>
      <c r="I73" s="5"/>
      <c r="J73" s="5"/>
      <c r="K73" s="5"/>
      <c r="L73" s="5"/>
      <c r="M73" s="5"/>
      <c r="N73" s="5"/>
      <c r="O73" s="3"/>
      <c r="P73" s="3"/>
      <c r="Q73" s="3"/>
      <c r="R73" s="3"/>
      <c r="S73" s="3"/>
      <c r="T73" s="3"/>
      <c r="U73" s="3"/>
    </row>
    <row r="74" spans="1:21" x14ac:dyDescent="0.2">
      <c r="A74" s="3"/>
      <c r="F74" s="5"/>
      <c r="G74" s="5"/>
      <c r="H74" s="5"/>
      <c r="I74" s="5"/>
      <c r="J74" s="5"/>
      <c r="K74" s="5"/>
      <c r="L74" s="5"/>
      <c r="M74" s="5"/>
      <c r="N74" s="5"/>
      <c r="O74" s="3"/>
      <c r="P74" s="3"/>
      <c r="Q74" s="3"/>
      <c r="R74" s="3"/>
      <c r="S74" s="3"/>
      <c r="T74" s="3"/>
      <c r="U74" s="3"/>
    </row>
    <row r="75" spans="1:21" x14ac:dyDescent="0.2">
      <c r="A75" s="3"/>
      <c r="F75" s="5"/>
      <c r="G75" s="5"/>
      <c r="H75" s="5"/>
      <c r="I75" s="5"/>
      <c r="J75" s="5"/>
      <c r="K75" s="5"/>
      <c r="L75" s="5"/>
      <c r="M75" s="5"/>
      <c r="N75" s="5"/>
      <c r="O75" s="3"/>
      <c r="P75" s="3"/>
      <c r="Q75" s="3"/>
      <c r="R75" s="3"/>
      <c r="S75" s="3"/>
      <c r="T75" s="3"/>
      <c r="U75" s="3"/>
    </row>
    <row r="76" spans="1:21" x14ac:dyDescent="0.2">
      <c r="A76" s="3"/>
      <c r="F76" s="5"/>
      <c r="G76" s="5"/>
      <c r="H76" s="5"/>
      <c r="I76" s="5"/>
      <c r="J76" s="5"/>
      <c r="K76" s="5"/>
      <c r="L76" s="5"/>
      <c r="M76" s="5"/>
      <c r="N76" s="5"/>
      <c r="O76" s="3"/>
      <c r="P76" s="3"/>
      <c r="Q76" s="3"/>
      <c r="R76" s="3"/>
      <c r="S76" s="3"/>
      <c r="T76" s="3"/>
      <c r="U76" s="3"/>
    </row>
    <row r="77" spans="1:21" x14ac:dyDescent="0.2">
      <c r="A77" s="3"/>
      <c r="F77" s="5"/>
      <c r="G77" s="5"/>
      <c r="H77" s="5"/>
      <c r="I77" s="5"/>
      <c r="J77" s="5"/>
      <c r="K77" s="5"/>
      <c r="L77" s="5"/>
      <c r="M77" s="5"/>
      <c r="N77" s="5"/>
      <c r="O77" s="3"/>
      <c r="P77" s="3"/>
      <c r="Q77" s="3"/>
      <c r="R77" s="3"/>
      <c r="S77" s="3"/>
      <c r="T77" s="3"/>
      <c r="U77" s="3"/>
    </row>
    <row r="78" spans="1:21" x14ac:dyDescent="0.2">
      <c r="A78" s="3"/>
      <c r="F78" s="5"/>
      <c r="G78" s="5"/>
      <c r="H78" s="5"/>
      <c r="I78" s="5"/>
      <c r="J78" s="5"/>
      <c r="K78" s="5"/>
      <c r="L78" s="5"/>
      <c r="M78" s="5"/>
      <c r="N78" s="5"/>
      <c r="O78" s="3"/>
      <c r="P78" s="3"/>
      <c r="Q78" s="3"/>
      <c r="R78" s="3"/>
      <c r="S78" s="3"/>
      <c r="T78" s="3"/>
      <c r="U78" s="3"/>
    </row>
    <row r="79" spans="1:21" x14ac:dyDescent="0.2">
      <c r="A79" s="3"/>
      <c r="F79" s="5"/>
      <c r="G79" s="5"/>
      <c r="H79" s="5"/>
      <c r="I79" s="5"/>
      <c r="J79" s="5"/>
      <c r="K79" s="5"/>
      <c r="L79" s="5"/>
      <c r="M79" s="5"/>
      <c r="N79" s="5"/>
      <c r="O79" s="3"/>
      <c r="P79" s="3"/>
      <c r="Q79" s="3"/>
      <c r="R79" s="3"/>
      <c r="S79" s="3"/>
      <c r="T79" s="3"/>
      <c r="U79" s="3"/>
    </row>
    <row r="80" spans="1:21" x14ac:dyDescent="0.2">
      <c r="A80" s="3"/>
      <c r="F80" s="5"/>
      <c r="G80" s="5"/>
      <c r="H80" s="5"/>
      <c r="I80" s="5"/>
      <c r="J80" s="5"/>
      <c r="K80" s="5"/>
      <c r="L80" s="5"/>
      <c r="M80" s="5"/>
      <c r="N80" s="5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/>
      <c r="P87" s="3"/>
      <c r="Q87" s="3"/>
      <c r="R87" s="3"/>
      <c r="S87" s="3"/>
      <c r="T87" s="3"/>
      <c r="U87" s="3"/>
    </row>
    <row r="88" spans="1:21" x14ac:dyDescent="0.2">
      <c r="A88" s="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/>
      <c r="P88" s="3"/>
      <c r="Q88" s="3"/>
      <c r="R88" s="3"/>
      <c r="S88" s="3"/>
      <c r="T88" s="3"/>
      <c r="U88" s="3"/>
    </row>
    <row r="89" spans="1:21" x14ac:dyDescent="0.2">
      <c r="A89" s="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/>
      <c r="P89" s="3"/>
      <c r="Q89" s="3"/>
      <c r="R89" s="3"/>
      <c r="S89" s="3"/>
      <c r="T89" s="3"/>
      <c r="U89" s="3"/>
    </row>
    <row r="90" spans="1:21" x14ac:dyDescent="0.2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3"/>
      <c r="P90" s="3"/>
      <c r="Q90" s="3"/>
      <c r="R90" s="3"/>
      <c r="S90" s="3"/>
      <c r="T90" s="3"/>
      <c r="U90" s="3"/>
    </row>
    <row r="91" spans="1:21" x14ac:dyDescent="0.2">
      <c r="A91" s="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3"/>
      <c r="P91" s="3"/>
      <c r="Q91" s="3"/>
      <c r="R91" s="3"/>
      <c r="S91" s="3"/>
      <c r="T91" s="3"/>
      <c r="U91" s="3"/>
    </row>
    <row r="92" spans="1:21" x14ac:dyDescent="0.2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"/>
      <c r="P92" s="3"/>
      <c r="Q92" s="3"/>
      <c r="R92" s="3"/>
      <c r="S92" s="3"/>
      <c r="T92" s="3"/>
      <c r="U92" s="3"/>
    </row>
    <row r="93" spans="1:21" x14ac:dyDescent="0.2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"/>
      <c r="P93" s="3"/>
      <c r="Q93" s="3"/>
      <c r="R93" s="3"/>
      <c r="S93" s="3"/>
      <c r="T93" s="3"/>
      <c r="U93" s="3"/>
    </row>
    <row r="94" spans="1:21" x14ac:dyDescent="0.2">
      <c r="A94" s="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3"/>
      <c r="P94" s="3"/>
      <c r="Q94" s="3"/>
      <c r="R94" s="3"/>
      <c r="S94" s="3"/>
      <c r="T94" s="3"/>
      <c r="U94" s="3"/>
    </row>
    <row r="95" spans="1:21" x14ac:dyDescent="0.2">
      <c r="A95" s="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"/>
      <c r="P95" s="3"/>
      <c r="Q95" s="3"/>
      <c r="R95" s="3"/>
      <c r="S95" s="3"/>
      <c r="T95" s="3"/>
      <c r="U95" s="3"/>
    </row>
    <row r="96" spans="1:21" x14ac:dyDescent="0.2">
      <c r="A96" s="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"/>
      <c r="P96" s="3"/>
      <c r="Q96" s="3"/>
      <c r="R96" s="3"/>
      <c r="S96" s="3"/>
      <c r="T96" s="3"/>
      <c r="U96" s="3"/>
    </row>
    <row r="97" spans="1:21" x14ac:dyDescent="0.2">
      <c r="A97" s="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3"/>
      <c r="P97" s="3"/>
      <c r="Q97" s="3"/>
      <c r="R97" s="3"/>
      <c r="S97" s="3"/>
      <c r="T97" s="3"/>
      <c r="U97" s="3"/>
    </row>
    <row r="98" spans="1:21" x14ac:dyDescent="0.2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3"/>
      <c r="P98" s="3"/>
      <c r="Q98" s="3"/>
      <c r="R98" s="3"/>
      <c r="S98" s="3"/>
      <c r="T98" s="3"/>
      <c r="U98" s="3"/>
    </row>
    <row r="99" spans="1:21" x14ac:dyDescent="0.2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3"/>
      <c r="P99" s="3"/>
      <c r="Q99" s="3"/>
      <c r="R99" s="3"/>
      <c r="S99" s="3"/>
      <c r="T99" s="3"/>
      <c r="U99" s="3"/>
    </row>
    <row r="100" spans="1:21" x14ac:dyDescent="0.2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3"/>
      <c r="P100" s="3"/>
      <c r="Q100" s="3"/>
      <c r="R100" s="3"/>
      <c r="S100" s="3"/>
      <c r="T100" s="3"/>
      <c r="U100" s="3"/>
    </row>
    <row r="101" spans="1:21" x14ac:dyDescent="0.2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3"/>
      <c r="P101" s="3"/>
      <c r="Q101" s="3"/>
      <c r="R101" s="3"/>
      <c r="S101" s="3"/>
      <c r="T101" s="3"/>
      <c r="U101" s="3"/>
    </row>
    <row r="102" spans="1:21" x14ac:dyDescent="0.2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3"/>
      <c r="P102" s="3"/>
      <c r="Q102" s="3"/>
      <c r="R102" s="3"/>
      <c r="S102" s="3"/>
      <c r="T102" s="3"/>
      <c r="U102" s="3"/>
    </row>
    <row r="103" spans="1:21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3"/>
      <c r="P103" s="3"/>
      <c r="Q103" s="3"/>
      <c r="R103" s="3"/>
      <c r="S103" s="3"/>
      <c r="T103" s="3"/>
      <c r="U103" s="3"/>
    </row>
    <row r="104" spans="1:21" x14ac:dyDescent="0.2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"/>
      <c r="P104" s="3"/>
      <c r="Q104" s="3"/>
      <c r="R104" s="3"/>
      <c r="S104" s="3"/>
      <c r="T104" s="3"/>
      <c r="U104" s="3"/>
    </row>
    <row r="105" spans="1:21" x14ac:dyDescent="0.2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3"/>
      <c r="P105" s="3"/>
      <c r="Q105" s="3"/>
      <c r="R105" s="3"/>
      <c r="S105" s="3"/>
      <c r="T105" s="3"/>
      <c r="U105" s="3"/>
    </row>
    <row r="106" spans="1:21" x14ac:dyDescent="0.2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3"/>
      <c r="P106" s="3"/>
      <c r="Q106" s="3"/>
      <c r="R106" s="3"/>
      <c r="S106" s="3"/>
      <c r="T106" s="3"/>
      <c r="U106" s="3"/>
    </row>
    <row r="107" spans="1:21" x14ac:dyDescent="0.2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3"/>
      <c r="P107" s="3"/>
      <c r="Q107" s="3"/>
      <c r="R107" s="3"/>
      <c r="S107" s="3"/>
      <c r="T107" s="3"/>
      <c r="U107" s="3"/>
    </row>
    <row r="108" spans="1:21" x14ac:dyDescent="0.2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"/>
      <c r="P108" s="3"/>
      <c r="Q108" s="3"/>
      <c r="R108" s="3"/>
      <c r="S108" s="3"/>
      <c r="T108" s="3"/>
      <c r="U108" s="3"/>
    </row>
    <row r="109" spans="1:21" x14ac:dyDescent="0.2">
      <c r="A109" s="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3"/>
      <c r="P109" s="3"/>
      <c r="Q109" s="3"/>
      <c r="R109" s="3"/>
      <c r="S109" s="3"/>
      <c r="T109" s="3"/>
      <c r="U109" s="3"/>
    </row>
    <row r="110" spans="1:21" x14ac:dyDescent="0.2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"/>
      <c r="P110" s="3"/>
      <c r="Q110" s="3"/>
      <c r="R110" s="3"/>
      <c r="S110" s="3"/>
      <c r="T110" s="3"/>
      <c r="U110" s="3"/>
    </row>
    <row r="111" spans="1:21" x14ac:dyDescent="0.2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"/>
      <c r="P111" s="3"/>
      <c r="Q111" s="3"/>
      <c r="R111" s="3"/>
      <c r="S111" s="3"/>
      <c r="T111" s="3"/>
      <c r="U111" s="3"/>
    </row>
    <row r="112" spans="1:21" x14ac:dyDescent="0.2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"/>
      <c r="P112" s="3"/>
      <c r="Q112" s="3"/>
      <c r="R112" s="3"/>
      <c r="S112" s="3"/>
      <c r="T112" s="3"/>
      <c r="U112" s="3"/>
    </row>
    <row r="113" spans="1:21" x14ac:dyDescent="0.2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"/>
      <c r="P113" s="3"/>
      <c r="Q113" s="3"/>
      <c r="R113" s="3"/>
      <c r="S113" s="3"/>
      <c r="T113" s="3"/>
      <c r="U113" s="3"/>
    </row>
    <row r="114" spans="1:21" x14ac:dyDescent="0.2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"/>
      <c r="P114" s="3"/>
      <c r="Q114" s="3"/>
      <c r="R114" s="3"/>
      <c r="S114" s="3"/>
      <c r="T114" s="3"/>
      <c r="U114" s="3"/>
    </row>
    <row r="115" spans="1:21" x14ac:dyDescent="0.2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"/>
      <c r="P115" s="3"/>
      <c r="Q115" s="3"/>
      <c r="R115" s="3"/>
      <c r="S115" s="3"/>
      <c r="T115" s="3"/>
      <c r="U115" s="3"/>
    </row>
    <row r="116" spans="1:21" x14ac:dyDescent="0.2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"/>
      <c r="P116" s="3"/>
      <c r="Q116" s="3"/>
      <c r="R116" s="3"/>
      <c r="S116" s="3"/>
      <c r="T116" s="3"/>
      <c r="U116" s="3"/>
    </row>
    <row r="117" spans="1:21" x14ac:dyDescent="0.2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"/>
      <c r="P117" s="3"/>
      <c r="Q117" s="3"/>
      <c r="R117" s="3"/>
      <c r="S117" s="3"/>
      <c r="T117" s="3"/>
      <c r="U117" s="3"/>
    </row>
    <row r="118" spans="1:21" x14ac:dyDescent="0.2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3"/>
      <c r="P118" s="3"/>
      <c r="Q118" s="3"/>
      <c r="R118" s="3"/>
      <c r="S118" s="3"/>
      <c r="T118" s="3"/>
      <c r="U118" s="3"/>
    </row>
    <row r="119" spans="1:21" x14ac:dyDescent="0.2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3"/>
      <c r="P119" s="3"/>
      <c r="Q119" s="3"/>
      <c r="R119" s="3"/>
      <c r="S119" s="3"/>
      <c r="T119" s="3"/>
      <c r="U119" s="3"/>
    </row>
    <row r="120" spans="1:21" x14ac:dyDescent="0.2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"/>
      <c r="P120" s="3"/>
      <c r="Q120" s="3"/>
      <c r="R120" s="3"/>
      <c r="S120" s="3"/>
      <c r="T120" s="3"/>
      <c r="U120" s="3"/>
    </row>
    <row r="121" spans="1:21" x14ac:dyDescent="0.2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"/>
      <c r="P121" s="3"/>
      <c r="Q121" s="3"/>
      <c r="R121" s="3"/>
      <c r="S121" s="3"/>
      <c r="T121" s="3"/>
      <c r="U121" s="3"/>
    </row>
    <row r="122" spans="1:21" x14ac:dyDescent="0.2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"/>
      <c r="P122" s="3"/>
      <c r="Q122" s="3"/>
      <c r="R122" s="3"/>
      <c r="S122" s="3"/>
      <c r="T122" s="3"/>
      <c r="U122" s="3"/>
    </row>
    <row r="123" spans="1:21" x14ac:dyDescent="0.2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3"/>
      <c r="P123" s="3"/>
      <c r="Q123" s="3"/>
      <c r="R123" s="3"/>
      <c r="S123" s="3"/>
      <c r="T123" s="3"/>
      <c r="U123" s="3"/>
    </row>
    <row r="124" spans="1:21" x14ac:dyDescent="0.2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3"/>
      <c r="P124" s="3"/>
      <c r="Q124" s="3"/>
      <c r="R124" s="3"/>
      <c r="S124" s="3"/>
      <c r="T124" s="3"/>
      <c r="U124" s="3"/>
    </row>
    <row r="125" spans="1:21" x14ac:dyDescent="0.2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3"/>
      <c r="P125" s="3"/>
      <c r="Q125" s="3"/>
      <c r="R125" s="3"/>
      <c r="S125" s="3"/>
      <c r="T125" s="3"/>
      <c r="U125" s="3"/>
    </row>
    <row r="126" spans="1:21" x14ac:dyDescent="0.2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3"/>
      <c r="P126" s="3"/>
      <c r="Q126" s="3"/>
      <c r="R126" s="3"/>
      <c r="S126" s="3"/>
      <c r="T126" s="3"/>
      <c r="U126" s="3"/>
    </row>
    <row r="127" spans="1:21" x14ac:dyDescent="0.2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3"/>
      <c r="P127" s="3"/>
      <c r="Q127" s="3"/>
      <c r="R127" s="3"/>
      <c r="S127" s="3"/>
      <c r="T127" s="3"/>
      <c r="U127" s="3"/>
    </row>
    <row r="128" spans="1:21" x14ac:dyDescent="0.2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"/>
      <c r="P128" s="3"/>
      <c r="Q128" s="3"/>
      <c r="R128" s="3"/>
      <c r="S128" s="3"/>
      <c r="T128" s="3"/>
      <c r="U128" s="3"/>
    </row>
    <row r="129" spans="1:21" x14ac:dyDescent="0.2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"/>
      <c r="P129" s="3"/>
      <c r="Q129" s="3"/>
      <c r="R129" s="3"/>
      <c r="S129" s="3"/>
      <c r="T129" s="3"/>
      <c r="U129" s="3"/>
    </row>
    <row r="130" spans="1:21" x14ac:dyDescent="0.2">
      <c r="A130" s="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"/>
      <c r="P130" s="3"/>
      <c r="Q130" s="3"/>
      <c r="R130" s="3"/>
      <c r="S130" s="3"/>
      <c r="T130" s="3"/>
      <c r="U130" s="3"/>
    </row>
    <row r="131" spans="1:21" x14ac:dyDescent="0.2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3"/>
      <c r="P131" s="3"/>
      <c r="Q131" s="3"/>
      <c r="R131" s="3"/>
      <c r="S131" s="3"/>
      <c r="T131" s="3"/>
      <c r="U131" s="3"/>
    </row>
    <row r="132" spans="1:21" x14ac:dyDescent="0.2">
      <c r="A132" s="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3"/>
      <c r="P132" s="3"/>
      <c r="Q132" s="3"/>
      <c r="R132" s="3"/>
      <c r="S132" s="3"/>
      <c r="T132" s="3"/>
      <c r="U132" s="3"/>
    </row>
    <row r="133" spans="1: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workbookViewId="0">
      <selection activeCell="B1" sqref="B1"/>
    </sheetView>
  </sheetViews>
  <sheetFormatPr baseColWidth="10" defaultRowHeight="12.75" x14ac:dyDescent="0.2"/>
  <cols>
    <col min="1" max="1" width="16.7109375" style="2" customWidth="1"/>
    <col min="2" max="2" width="11.42578125" style="2" customWidth="1"/>
    <col min="3" max="3" width="3.7109375" style="2" customWidth="1"/>
    <col min="4" max="4" width="17.42578125" style="2" customWidth="1"/>
    <col min="5" max="5" width="10.7109375" style="2" customWidth="1"/>
    <col min="6" max="6" width="9.7109375" style="2" customWidth="1"/>
    <col min="7" max="7" width="13.7109375" style="2" customWidth="1"/>
    <col min="8" max="8" width="7.7109375" style="2" customWidth="1"/>
    <col min="9" max="256" width="9.140625" style="2" customWidth="1"/>
    <col min="257" max="257" width="16.7109375" style="2" customWidth="1"/>
    <col min="258" max="258" width="11.42578125" style="2" customWidth="1"/>
    <col min="259" max="259" width="3.7109375" style="2" customWidth="1"/>
    <col min="260" max="260" width="14.7109375" style="2" customWidth="1"/>
    <col min="261" max="261" width="10.7109375" style="2" customWidth="1"/>
    <col min="262" max="262" width="9.7109375" style="2" customWidth="1"/>
    <col min="263" max="263" width="13.7109375" style="2" customWidth="1"/>
    <col min="264" max="264" width="7.7109375" style="2" customWidth="1"/>
    <col min="265" max="512" width="9.140625" style="2" customWidth="1"/>
    <col min="513" max="513" width="16.7109375" style="2" customWidth="1"/>
    <col min="514" max="514" width="11.42578125" style="2" customWidth="1"/>
    <col min="515" max="515" width="3.7109375" style="2" customWidth="1"/>
    <col min="516" max="516" width="14.7109375" style="2" customWidth="1"/>
    <col min="517" max="517" width="10.7109375" style="2" customWidth="1"/>
    <col min="518" max="518" width="9.7109375" style="2" customWidth="1"/>
    <col min="519" max="519" width="13.7109375" style="2" customWidth="1"/>
    <col min="520" max="520" width="7.7109375" style="2" customWidth="1"/>
    <col min="521" max="768" width="9.140625" style="2" customWidth="1"/>
    <col min="769" max="769" width="16.7109375" style="2" customWidth="1"/>
    <col min="770" max="770" width="11.42578125" style="2" customWidth="1"/>
    <col min="771" max="771" width="3.7109375" style="2" customWidth="1"/>
    <col min="772" max="772" width="14.7109375" style="2" customWidth="1"/>
    <col min="773" max="773" width="10.7109375" style="2" customWidth="1"/>
    <col min="774" max="774" width="9.7109375" style="2" customWidth="1"/>
    <col min="775" max="775" width="13.7109375" style="2" customWidth="1"/>
    <col min="776" max="776" width="7.7109375" style="2" customWidth="1"/>
    <col min="777" max="1024" width="9.140625" style="2" customWidth="1"/>
    <col min="1025" max="1025" width="16.7109375" style="2" customWidth="1"/>
    <col min="1026" max="1026" width="11.42578125" style="2" customWidth="1"/>
    <col min="1027" max="1027" width="3.7109375" style="2" customWidth="1"/>
    <col min="1028" max="1028" width="14.7109375" style="2" customWidth="1"/>
    <col min="1029" max="1029" width="10.7109375" style="2" customWidth="1"/>
    <col min="1030" max="1030" width="9.7109375" style="2" customWidth="1"/>
    <col min="1031" max="1031" width="13.7109375" style="2" customWidth="1"/>
    <col min="1032" max="1032" width="7.7109375" style="2" customWidth="1"/>
    <col min="1033" max="1280" width="9.140625" style="2" customWidth="1"/>
    <col min="1281" max="1281" width="16.7109375" style="2" customWidth="1"/>
    <col min="1282" max="1282" width="11.42578125" style="2" customWidth="1"/>
    <col min="1283" max="1283" width="3.7109375" style="2" customWidth="1"/>
    <col min="1284" max="1284" width="14.7109375" style="2" customWidth="1"/>
    <col min="1285" max="1285" width="10.7109375" style="2" customWidth="1"/>
    <col min="1286" max="1286" width="9.7109375" style="2" customWidth="1"/>
    <col min="1287" max="1287" width="13.7109375" style="2" customWidth="1"/>
    <col min="1288" max="1288" width="7.7109375" style="2" customWidth="1"/>
    <col min="1289" max="1536" width="9.140625" style="2" customWidth="1"/>
    <col min="1537" max="1537" width="16.7109375" style="2" customWidth="1"/>
    <col min="1538" max="1538" width="11.42578125" style="2" customWidth="1"/>
    <col min="1539" max="1539" width="3.7109375" style="2" customWidth="1"/>
    <col min="1540" max="1540" width="14.7109375" style="2" customWidth="1"/>
    <col min="1541" max="1541" width="10.7109375" style="2" customWidth="1"/>
    <col min="1542" max="1542" width="9.7109375" style="2" customWidth="1"/>
    <col min="1543" max="1543" width="13.7109375" style="2" customWidth="1"/>
    <col min="1544" max="1544" width="7.7109375" style="2" customWidth="1"/>
    <col min="1545" max="1792" width="9.140625" style="2" customWidth="1"/>
    <col min="1793" max="1793" width="16.7109375" style="2" customWidth="1"/>
    <col min="1794" max="1794" width="11.42578125" style="2" customWidth="1"/>
    <col min="1795" max="1795" width="3.7109375" style="2" customWidth="1"/>
    <col min="1796" max="1796" width="14.7109375" style="2" customWidth="1"/>
    <col min="1797" max="1797" width="10.7109375" style="2" customWidth="1"/>
    <col min="1798" max="1798" width="9.7109375" style="2" customWidth="1"/>
    <col min="1799" max="1799" width="13.7109375" style="2" customWidth="1"/>
    <col min="1800" max="1800" width="7.7109375" style="2" customWidth="1"/>
    <col min="1801" max="2048" width="9.140625" style="2" customWidth="1"/>
    <col min="2049" max="2049" width="16.7109375" style="2" customWidth="1"/>
    <col min="2050" max="2050" width="11.42578125" style="2" customWidth="1"/>
    <col min="2051" max="2051" width="3.7109375" style="2" customWidth="1"/>
    <col min="2052" max="2052" width="14.7109375" style="2" customWidth="1"/>
    <col min="2053" max="2053" width="10.7109375" style="2" customWidth="1"/>
    <col min="2054" max="2054" width="9.7109375" style="2" customWidth="1"/>
    <col min="2055" max="2055" width="13.7109375" style="2" customWidth="1"/>
    <col min="2056" max="2056" width="7.7109375" style="2" customWidth="1"/>
    <col min="2057" max="2304" width="9.140625" style="2" customWidth="1"/>
    <col min="2305" max="2305" width="16.7109375" style="2" customWidth="1"/>
    <col min="2306" max="2306" width="11.42578125" style="2" customWidth="1"/>
    <col min="2307" max="2307" width="3.7109375" style="2" customWidth="1"/>
    <col min="2308" max="2308" width="14.7109375" style="2" customWidth="1"/>
    <col min="2309" max="2309" width="10.7109375" style="2" customWidth="1"/>
    <col min="2310" max="2310" width="9.7109375" style="2" customWidth="1"/>
    <col min="2311" max="2311" width="13.7109375" style="2" customWidth="1"/>
    <col min="2312" max="2312" width="7.7109375" style="2" customWidth="1"/>
    <col min="2313" max="2560" width="9.140625" style="2" customWidth="1"/>
    <col min="2561" max="2561" width="16.7109375" style="2" customWidth="1"/>
    <col min="2562" max="2562" width="11.42578125" style="2" customWidth="1"/>
    <col min="2563" max="2563" width="3.7109375" style="2" customWidth="1"/>
    <col min="2564" max="2564" width="14.7109375" style="2" customWidth="1"/>
    <col min="2565" max="2565" width="10.7109375" style="2" customWidth="1"/>
    <col min="2566" max="2566" width="9.7109375" style="2" customWidth="1"/>
    <col min="2567" max="2567" width="13.7109375" style="2" customWidth="1"/>
    <col min="2568" max="2568" width="7.7109375" style="2" customWidth="1"/>
    <col min="2569" max="2816" width="9.140625" style="2" customWidth="1"/>
    <col min="2817" max="2817" width="16.7109375" style="2" customWidth="1"/>
    <col min="2818" max="2818" width="11.42578125" style="2" customWidth="1"/>
    <col min="2819" max="2819" width="3.7109375" style="2" customWidth="1"/>
    <col min="2820" max="2820" width="14.7109375" style="2" customWidth="1"/>
    <col min="2821" max="2821" width="10.7109375" style="2" customWidth="1"/>
    <col min="2822" max="2822" width="9.7109375" style="2" customWidth="1"/>
    <col min="2823" max="2823" width="13.7109375" style="2" customWidth="1"/>
    <col min="2824" max="2824" width="7.7109375" style="2" customWidth="1"/>
    <col min="2825" max="3072" width="9.140625" style="2" customWidth="1"/>
    <col min="3073" max="3073" width="16.7109375" style="2" customWidth="1"/>
    <col min="3074" max="3074" width="11.42578125" style="2" customWidth="1"/>
    <col min="3075" max="3075" width="3.7109375" style="2" customWidth="1"/>
    <col min="3076" max="3076" width="14.7109375" style="2" customWidth="1"/>
    <col min="3077" max="3077" width="10.7109375" style="2" customWidth="1"/>
    <col min="3078" max="3078" width="9.7109375" style="2" customWidth="1"/>
    <col min="3079" max="3079" width="13.7109375" style="2" customWidth="1"/>
    <col min="3080" max="3080" width="7.7109375" style="2" customWidth="1"/>
    <col min="3081" max="3328" width="9.140625" style="2" customWidth="1"/>
    <col min="3329" max="3329" width="16.7109375" style="2" customWidth="1"/>
    <col min="3330" max="3330" width="11.42578125" style="2" customWidth="1"/>
    <col min="3331" max="3331" width="3.7109375" style="2" customWidth="1"/>
    <col min="3332" max="3332" width="14.7109375" style="2" customWidth="1"/>
    <col min="3333" max="3333" width="10.7109375" style="2" customWidth="1"/>
    <col min="3334" max="3334" width="9.7109375" style="2" customWidth="1"/>
    <col min="3335" max="3335" width="13.7109375" style="2" customWidth="1"/>
    <col min="3336" max="3336" width="7.7109375" style="2" customWidth="1"/>
    <col min="3337" max="3584" width="9.140625" style="2" customWidth="1"/>
    <col min="3585" max="3585" width="16.7109375" style="2" customWidth="1"/>
    <col min="3586" max="3586" width="11.42578125" style="2" customWidth="1"/>
    <col min="3587" max="3587" width="3.7109375" style="2" customWidth="1"/>
    <col min="3588" max="3588" width="14.7109375" style="2" customWidth="1"/>
    <col min="3589" max="3589" width="10.7109375" style="2" customWidth="1"/>
    <col min="3590" max="3590" width="9.7109375" style="2" customWidth="1"/>
    <col min="3591" max="3591" width="13.7109375" style="2" customWidth="1"/>
    <col min="3592" max="3592" width="7.7109375" style="2" customWidth="1"/>
    <col min="3593" max="3840" width="9.140625" style="2" customWidth="1"/>
    <col min="3841" max="3841" width="16.7109375" style="2" customWidth="1"/>
    <col min="3842" max="3842" width="11.42578125" style="2" customWidth="1"/>
    <col min="3843" max="3843" width="3.7109375" style="2" customWidth="1"/>
    <col min="3844" max="3844" width="14.7109375" style="2" customWidth="1"/>
    <col min="3845" max="3845" width="10.7109375" style="2" customWidth="1"/>
    <col min="3846" max="3846" width="9.7109375" style="2" customWidth="1"/>
    <col min="3847" max="3847" width="13.7109375" style="2" customWidth="1"/>
    <col min="3848" max="3848" width="7.7109375" style="2" customWidth="1"/>
    <col min="3849" max="4096" width="9.140625" style="2" customWidth="1"/>
    <col min="4097" max="4097" width="16.7109375" style="2" customWidth="1"/>
    <col min="4098" max="4098" width="11.42578125" style="2" customWidth="1"/>
    <col min="4099" max="4099" width="3.7109375" style="2" customWidth="1"/>
    <col min="4100" max="4100" width="14.7109375" style="2" customWidth="1"/>
    <col min="4101" max="4101" width="10.7109375" style="2" customWidth="1"/>
    <col min="4102" max="4102" width="9.7109375" style="2" customWidth="1"/>
    <col min="4103" max="4103" width="13.7109375" style="2" customWidth="1"/>
    <col min="4104" max="4104" width="7.7109375" style="2" customWidth="1"/>
    <col min="4105" max="4352" width="9.140625" style="2" customWidth="1"/>
    <col min="4353" max="4353" width="16.7109375" style="2" customWidth="1"/>
    <col min="4354" max="4354" width="11.42578125" style="2" customWidth="1"/>
    <col min="4355" max="4355" width="3.7109375" style="2" customWidth="1"/>
    <col min="4356" max="4356" width="14.7109375" style="2" customWidth="1"/>
    <col min="4357" max="4357" width="10.7109375" style="2" customWidth="1"/>
    <col min="4358" max="4358" width="9.7109375" style="2" customWidth="1"/>
    <col min="4359" max="4359" width="13.7109375" style="2" customWidth="1"/>
    <col min="4360" max="4360" width="7.7109375" style="2" customWidth="1"/>
    <col min="4361" max="4608" width="9.140625" style="2" customWidth="1"/>
    <col min="4609" max="4609" width="16.7109375" style="2" customWidth="1"/>
    <col min="4610" max="4610" width="11.42578125" style="2" customWidth="1"/>
    <col min="4611" max="4611" width="3.7109375" style="2" customWidth="1"/>
    <col min="4612" max="4612" width="14.7109375" style="2" customWidth="1"/>
    <col min="4613" max="4613" width="10.7109375" style="2" customWidth="1"/>
    <col min="4614" max="4614" width="9.7109375" style="2" customWidth="1"/>
    <col min="4615" max="4615" width="13.7109375" style="2" customWidth="1"/>
    <col min="4616" max="4616" width="7.7109375" style="2" customWidth="1"/>
    <col min="4617" max="4864" width="9.140625" style="2" customWidth="1"/>
    <col min="4865" max="4865" width="16.7109375" style="2" customWidth="1"/>
    <col min="4866" max="4866" width="11.42578125" style="2" customWidth="1"/>
    <col min="4867" max="4867" width="3.7109375" style="2" customWidth="1"/>
    <col min="4868" max="4868" width="14.7109375" style="2" customWidth="1"/>
    <col min="4869" max="4869" width="10.7109375" style="2" customWidth="1"/>
    <col min="4870" max="4870" width="9.7109375" style="2" customWidth="1"/>
    <col min="4871" max="4871" width="13.7109375" style="2" customWidth="1"/>
    <col min="4872" max="4872" width="7.7109375" style="2" customWidth="1"/>
    <col min="4873" max="5120" width="9.140625" style="2" customWidth="1"/>
    <col min="5121" max="5121" width="16.7109375" style="2" customWidth="1"/>
    <col min="5122" max="5122" width="11.42578125" style="2" customWidth="1"/>
    <col min="5123" max="5123" width="3.7109375" style="2" customWidth="1"/>
    <col min="5124" max="5124" width="14.7109375" style="2" customWidth="1"/>
    <col min="5125" max="5125" width="10.7109375" style="2" customWidth="1"/>
    <col min="5126" max="5126" width="9.7109375" style="2" customWidth="1"/>
    <col min="5127" max="5127" width="13.7109375" style="2" customWidth="1"/>
    <col min="5128" max="5128" width="7.7109375" style="2" customWidth="1"/>
    <col min="5129" max="5376" width="9.140625" style="2" customWidth="1"/>
    <col min="5377" max="5377" width="16.7109375" style="2" customWidth="1"/>
    <col min="5378" max="5378" width="11.42578125" style="2" customWidth="1"/>
    <col min="5379" max="5379" width="3.7109375" style="2" customWidth="1"/>
    <col min="5380" max="5380" width="14.7109375" style="2" customWidth="1"/>
    <col min="5381" max="5381" width="10.7109375" style="2" customWidth="1"/>
    <col min="5382" max="5382" width="9.7109375" style="2" customWidth="1"/>
    <col min="5383" max="5383" width="13.7109375" style="2" customWidth="1"/>
    <col min="5384" max="5384" width="7.7109375" style="2" customWidth="1"/>
    <col min="5385" max="5632" width="9.140625" style="2" customWidth="1"/>
    <col min="5633" max="5633" width="16.7109375" style="2" customWidth="1"/>
    <col min="5634" max="5634" width="11.42578125" style="2" customWidth="1"/>
    <col min="5635" max="5635" width="3.7109375" style="2" customWidth="1"/>
    <col min="5636" max="5636" width="14.7109375" style="2" customWidth="1"/>
    <col min="5637" max="5637" width="10.7109375" style="2" customWidth="1"/>
    <col min="5638" max="5638" width="9.7109375" style="2" customWidth="1"/>
    <col min="5639" max="5639" width="13.7109375" style="2" customWidth="1"/>
    <col min="5640" max="5640" width="7.7109375" style="2" customWidth="1"/>
    <col min="5641" max="5888" width="9.140625" style="2" customWidth="1"/>
    <col min="5889" max="5889" width="16.7109375" style="2" customWidth="1"/>
    <col min="5890" max="5890" width="11.42578125" style="2" customWidth="1"/>
    <col min="5891" max="5891" width="3.7109375" style="2" customWidth="1"/>
    <col min="5892" max="5892" width="14.7109375" style="2" customWidth="1"/>
    <col min="5893" max="5893" width="10.7109375" style="2" customWidth="1"/>
    <col min="5894" max="5894" width="9.7109375" style="2" customWidth="1"/>
    <col min="5895" max="5895" width="13.7109375" style="2" customWidth="1"/>
    <col min="5896" max="5896" width="7.7109375" style="2" customWidth="1"/>
    <col min="5897" max="6144" width="9.140625" style="2" customWidth="1"/>
    <col min="6145" max="6145" width="16.7109375" style="2" customWidth="1"/>
    <col min="6146" max="6146" width="11.42578125" style="2" customWidth="1"/>
    <col min="6147" max="6147" width="3.7109375" style="2" customWidth="1"/>
    <col min="6148" max="6148" width="14.7109375" style="2" customWidth="1"/>
    <col min="6149" max="6149" width="10.7109375" style="2" customWidth="1"/>
    <col min="6150" max="6150" width="9.7109375" style="2" customWidth="1"/>
    <col min="6151" max="6151" width="13.7109375" style="2" customWidth="1"/>
    <col min="6152" max="6152" width="7.7109375" style="2" customWidth="1"/>
    <col min="6153" max="6400" width="9.140625" style="2" customWidth="1"/>
    <col min="6401" max="6401" width="16.7109375" style="2" customWidth="1"/>
    <col min="6402" max="6402" width="11.42578125" style="2" customWidth="1"/>
    <col min="6403" max="6403" width="3.7109375" style="2" customWidth="1"/>
    <col min="6404" max="6404" width="14.7109375" style="2" customWidth="1"/>
    <col min="6405" max="6405" width="10.7109375" style="2" customWidth="1"/>
    <col min="6406" max="6406" width="9.7109375" style="2" customWidth="1"/>
    <col min="6407" max="6407" width="13.7109375" style="2" customWidth="1"/>
    <col min="6408" max="6408" width="7.7109375" style="2" customWidth="1"/>
    <col min="6409" max="6656" width="9.140625" style="2" customWidth="1"/>
    <col min="6657" max="6657" width="16.7109375" style="2" customWidth="1"/>
    <col min="6658" max="6658" width="11.42578125" style="2" customWidth="1"/>
    <col min="6659" max="6659" width="3.7109375" style="2" customWidth="1"/>
    <col min="6660" max="6660" width="14.7109375" style="2" customWidth="1"/>
    <col min="6661" max="6661" width="10.7109375" style="2" customWidth="1"/>
    <col min="6662" max="6662" width="9.7109375" style="2" customWidth="1"/>
    <col min="6663" max="6663" width="13.7109375" style="2" customWidth="1"/>
    <col min="6664" max="6664" width="7.7109375" style="2" customWidth="1"/>
    <col min="6665" max="6912" width="9.140625" style="2" customWidth="1"/>
    <col min="6913" max="6913" width="16.7109375" style="2" customWidth="1"/>
    <col min="6914" max="6914" width="11.42578125" style="2" customWidth="1"/>
    <col min="6915" max="6915" width="3.7109375" style="2" customWidth="1"/>
    <col min="6916" max="6916" width="14.7109375" style="2" customWidth="1"/>
    <col min="6917" max="6917" width="10.7109375" style="2" customWidth="1"/>
    <col min="6918" max="6918" width="9.7109375" style="2" customWidth="1"/>
    <col min="6919" max="6919" width="13.7109375" style="2" customWidth="1"/>
    <col min="6920" max="6920" width="7.7109375" style="2" customWidth="1"/>
    <col min="6921" max="7168" width="9.140625" style="2" customWidth="1"/>
    <col min="7169" max="7169" width="16.7109375" style="2" customWidth="1"/>
    <col min="7170" max="7170" width="11.42578125" style="2" customWidth="1"/>
    <col min="7171" max="7171" width="3.7109375" style="2" customWidth="1"/>
    <col min="7172" max="7172" width="14.7109375" style="2" customWidth="1"/>
    <col min="7173" max="7173" width="10.7109375" style="2" customWidth="1"/>
    <col min="7174" max="7174" width="9.7109375" style="2" customWidth="1"/>
    <col min="7175" max="7175" width="13.7109375" style="2" customWidth="1"/>
    <col min="7176" max="7176" width="7.7109375" style="2" customWidth="1"/>
    <col min="7177" max="7424" width="9.140625" style="2" customWidth="1"/>
    <col min="7425" max="7425" width="16.7109375" style="2" customWidth="1"/>
    <col min="7426" max="7426" width="11.42578125" style="2" customWidth="1"/>
    <col min="7427" max="7427" width="3.7109375" style="2" customWidth="1"/>
    <col min="7428" max="7428" width="14.7109375" style="2" customWidth="1"/>
    <col min="7429" max="7429" width="10.7109375" style="2" customWidth="1"/>
    <col min="7430" max="7430" width="9.7109375" style="2" customWidth="1"/>
    <col min="7431" max="7431" width="13.7109375" style="2" customWidth="1"/>
    <col min="7432" max="7432" width="7.7109375" style="2" customWidth="1"/>
    <col min="7433" max="7680" width="9.140625" style="2" customWidth="1"/>
    <col min="7681" max="7681" width="16.7109375" style="2" customWidth="1"/>
    <col min="7682" max="7682" width="11.42578125" style="2" customWidth="1"/>
    <col min="7683" max="7683" width="3.7109375" style="2" customWidth="1"/>
    <col min="7684" max="7684" width="14.7109375" style="2" customWidth="1"/>
    <col min="7685" max="7685" width="10.7109375" style="2" customWidth="1"/>
    <col min="7686" max="7686" width="9.7109375" style="2" customWidth="1"/>
    <col min="7687" max="7687" width="13.7109375" style="2" customWidth="1"/>
    <col min="7688" max="7688" width="7.7109375" style="2" customWidth="1"/>
    <col min="7689" max="7936" width="9.140625" style="2" customWidth="1"/>
    <col min="7937" max="7937" width="16.7109375" style="2" customWidth="1"/>
    <col min="7938" max="7938" width="11.42578125" style="2" customWidth="1"/>
    <col min="7939" max="7939" width="3.7109375" style="2" customWidth="1"/>
    <col min="7940" max="7940" width="14.7109375" style="2" customWidth="1"/>
    <col min="7941" max="7941" width="10.7109375" style="2" customWidth="1"/>
    <col min="7942" max="7942" width="9.7109375" style="2" customWidth="1"/>
    <col min="7943" max="7943" width="13.7109375" style="2" customWidth="1"/>
    <col min="7944" max="7944" width="7.7109375" style="2" customWidth="1"/>
    <col min="7945" max="8192" width="9.140625" style="2" customWidth="1"/>
    <col min="8193" max="8193" width="16.7109375" style="2" customWidth="1"/>
    <col min="8194" max="8194" width="11.42578125" style="2" customWidth="1"/>
    <col min="8195" max="8195" width="3.7109375" style="2" customWidth="1"/>
    <col min="8196" max="8196" width="14.7109375" style="2" customWidth="1"/>
    <col min="8197" max="8197" width="10.7109375" style="2" customWidth="1"/>
    <col min="8198" max="8198" width="9.7109375" style="2" customWidth="1"/>
    <col min="8199" max="8199" width="13.7109375" style="2" customWidth="1"/>
    <col min="8200" max="8200" width="7.7109375" style="2" customWidth="1"/>
    <col min="8201" max="8448" width="9.140625" style="2" customWidth="1"/>
    <col min="8449" max="8449" width="16.7109375" style="2" customWidth="1"/>
    <col min="8450" max="8450" width="11.42578125" style="2" customWidth="1"/>
    <col min="8451" max="8451" width="3.7109375" style="2" customWidth="1"/>
    <col min="8452" max="8452" width="14.7109375" style="2" customWidth="1"/>
    <col min="8453" max="8453" width="10.7109375" style="2" customWidth="1"/>
    <col min="8454" max="8454" width="9.7109375" style="2" customWidth="1"/>
    <col min="8455" max="8455" width="13.7109375" style="2" customWidth="1"/>
    <col min="8456" max="8456" width="7.7109375" style="2" customWidth="1"/>
    <col min="8457" max="8704" width="9.140625" style="2" customWidth="1"/>
    <col min="8705" max="8705" width="16.7109375" style="2" customWidth="1"/>
    <col min="8706" max="8706" width="11.42578125" style="2" customWidth="1"/>
    <col min="8707" max="8707" width="3.7109375" style="2" customWidth="1"/>
    <col min="8708" max="8708" width="14.7109375" style="2" customWidth="1"/>
    <col min="8709" max="8709" width="10.7109375" style="2" customWidth="1"/>
    <col min="8710" max="8710" width="9.7109375" style="2" customWidth="1"/>
    <col min="8711" max="8711" width="13.7109375" style="2" customWidth="1"/>
    <col min="8712" max="8712" width="7.7109375" style="2" customWidth="1"/>
    <col min="8713" max="8960" width="9.140625" style="2" customWidth="1"/>
    <col min="8961" max="8961" width="16.7109375" style="2" customWidth="1"/>
    <col min="8962" max="8962" width="11.42578125" style="2" customWidth="1"/>
    <col min="8963" max="8963" width="3.7109375" style="2" customWidth="1"/>
    <col min="8964" max="8964" width="14.7109375" style="2" customWidth="1"/>
    <col min="8965" max="8965" width="10.7109375" style="2" customWidth="1"/>
    <col min="8966" max="8966" width="9.7109375" style="2" customWidth="1"/>
    <col min="8967" max="8967" width="13.7109375" style="2" customWidth="1"/>
    <col min="8968" max="8968" width="7.7109375" style="2" customWidth="1"/>
    <col min="8969" max="9216" width="9.140625" style="2" customWidth="1"/>
    <col min="9217" max="9217" width="16.7109375" style="2" customWidth="1"/>
    <col min="9218" max="9218" width="11.42578125" style="2" customWidth="1"/>
    <col min="9219" max="9219" width="3.7109375" style="2" customWidth="1"/>
    <col min="9220" max="9220" width="14.7109375" style="2" customWidth="1"/>
    <col min="9221" max="9221" width="10.7109375" style="2" customWidth="1"/>
    <col min="9222" max="9222" width="9.7109375" style="2" customWidth="1"/>
    <col min="9223" max="9223" width="13.7109375" style="2" customWidth="1"/>
    <col min="9224" max="9224" width="7.7109375" style="2" customWidth="1"/>
    <col min="9225" max="9472" width="9.140625" style="2" customWidth="1"/>
    <col min="9473" max="9473" width="16.7109375" style="2" customWidth="1"/>
    <col min="9474" max="9474" width="11.42578125" style="2" customWidth="1"/>
    <col min="9475" max="9475" width="3.7109375" style="2" customWidth="1"/>
    <col min="9476" max="9476" width="14.7109375" style="2" customWidth="1"/>
    <col min="9477" max="9477" width="10.7109375" style="2" customWidth="1"/>
    <col min="9478" max="9478" width="9.7109375" style="2" customWidth="1"/>
    <col min="9479" max="9479" width="13.7109375" style="2" customWidth="1"/>
    <col min="9480" max="9480" width="7.7109375" style="2" customWidth="1"/>
    <col min="9481" max="9728" width="9.140625" style="2" customWidth="1"/>
    <col min="9729" max="9729" width="16.7109375" style="2" customWidth="1"/>
    <col min="9730" max="9730" width="11.42578125" style="2" customWidth="1"/>
    <col min="9731" max="9731" width="3.7109375" style="2" customWidth="1"/>
    <col min="9732" max="9732" width="14.7109375" style="2" customWidth="1"/>
    <col min="9733" max="9733" width="10.7109375" style="2" customWidth="1"/>
    <col min="9734" max="9734" width="9.7109375" style="2" customWidth="1"/>
    <col min="9735" max="9735" width="13.7109375" style="2" customWidth="1"/>
    <col min="9736" max="9736" width="7.7109375" style="2" customWidth="1"/>
    <col min="9737" max="9984" width="9.140625" style="2" customWidth="1"/>
    <col min="9985" max="9985" width="16.7109375" style="2" customWidth="1"/>
    <col min="9986" max="9986" width="11.42578125" style="2" customWidth="1"/>
    <col min="9987" max="9987" width="3.7109375" style="2" customWidth="1"/>
    <col min="9988" max="9988" width="14.7109375" style="2" customWidth="1"/>
    <col min="9989" max="9989" width="10.7109375" style="2" customWidth="1"/>
    <col min="9990" max="9990" width="9.7109375" style="2" customWidth="1"/>
    <col min="9991" max="9991" width="13.7109375" style="2" customWidth="1"/>
    <col min="9992" max="9992" width="7.7109375" style="2" customWidth="1"/>
    <col min="9993" max="10240" width="9.140625" style="2" customWidth="1"/>
    <col min="10241" max="10241" width="16.7109375" style="2" customWidth="1"/>
    <col min="10242" max="10242" width="11.42578125" style="2" customWidth="1"/>
    <col min="10243" max="10243" width="3.7109375" style="2" customWidth="1"/>
    <col min="10244" max="10244" width="14.7109375" style="2" customWidth="1"/>
    <col min="10245" max="10245" width="10.7109375" style="2" customWidth="1"/>
    <col min="10246" max="10246" width="9.7109375" style="2" customWidth="1"/>
    <col min="10247" max="10247" width="13.7109375" style="2" customWidth="1"/>
    <col min="10248" max="10248" width="7.7109375" style="2" customWidth="1"/>
    <col min="10249" max="10496" width="9.140625" style="2" customWidth="1"/>
    <col min="10497" max="10497" width="16.7109375" style="2" customWidth="1"/>
    <col min="10498" max="10498" width="11.42578125" style="2" customWidth="1"/>
    <col min="10499" max="10499" width="3.7109375" style="2" customWidth="1"/>
    <col min="10500" max="10500" width="14.7109375" style="2" customWidth="1"/>
    <col min="10501" max="10501" width="10.7109375" style="2" customWidth="1"/>
    <col min="10502" max="10502" width="9.7109375" style="2" customWidth="1"/>
    <col min="10503" max="10503" width="13.7109375" style="2" customWidth="1"/>
    <col min="10504" max="10504" width="7.7109375" style="2" customWidth="1"/>
    <col min="10505" max="10752" width="9.140625" style="2" customWidth="1"/>
    <col min="10753" max="10753" width="16.7109375" style="2" customWidth="1"/>
    <col min="10754" max="10754" width="11.42578125" style="2" customWidth="1"/>
    <col min="10755" max="10755" width="3.7109375" style="2" customWidth="1"/>
    <col min="10756" max="10756" width="14.7109375" style="2" customWidth="1"/>
    <col min="10757" max="10757" width="10.7109375" style="2" customWidth="1"/>
    <col min="10758" max="10758" width="9.7109375" style="2" customWidth="1"/>
    <col min="10759" max="10759" width="13.7109375" style="2" customWidth="1"/>
    <col min="10760" max="10760" width="7.7109375" style="2" customWidth="1"/>
    <col min="10761" max="11008" width="9.140625" style="2" customWidth="1"/>
    <col min="11009" max="11009" width="16.7109375" style="2" customWidth="1"/>
    <col min="11010" max="11010" width="11.42578125" style="2" customWidth="1"/>
    <col min="11011" max="11011" width="3.7109375" style="2" customWidth="1"/>
    <col min="11012" max="11012" width="14.7109375" style="2" customWidth="1"/>
    <col min="11013" max="11013" width="10.7109375" style="2" customWidth="1"/>
    <col min="11014" max="11014" width="9.7109375" style="2" customWidth="1"/>
    <col min="11015" max="11015" width="13.7109375" style="2" customWidth="1"/>
    <col min="11016" max="11016" width="7.7109375" style="2" customWidth="1"/>
    <col min="11017" max="11264" width="9.140625" style="2" customWidth="1"/>
    <col min="11265" max="11265" width="16.7109375" style="2" customWidth="1"/>
    <col min="11266" max="11266" width="11.42578125" style="2" customWidth="1"/>
    <col min="11267" max="11267" width="3.7109375" style="2" customWidth="1"/>
    <col min="11268" max="11268" width="14.7109375" style="2" customWidth="1"/>
    <col min="11269" max="11269" width="10.7109375" style="2" customWidth="1"/>
    <col min="11270" max="11270" width="9.7109375" style="2" customWidth="1"/>
    <col min="11271" max="11271" width="13.7109375" style="2" customWidth="1"/>
    <col min="11272" max="11272" width="7.7109375" style="2" customWidth="1"/>
    <col min="11273" max="11520" width="9.140625" style="2" customWidth="1"/>
    <col min="11521" max="11521" width="16.7109375" style="2" customWidth="1"/>
    <col min="11522" max="11522" width="11.42578125" style="2" customWidth="1"/>
    <col min="11523" max="11523" width="3.7109375" style="2" customWidth="1"/>
    <col min="11524" max="11524" width="14.7109375" style="2" customWidth="1"/>
    <col min="11525" max="11525" width="10.7109375" style="2" customWidth="1"/>
    <col min="11526" max="11526" width="9.7109375" style="2" customWidth="1"/>
    <col min="11527" max="11527" width="13.7109375" style="2" customWidth="1"/>
    <col min="11528" max="11528" width="7.7109375" style="2" customWidth="1"/>
    <col min="11529" max="11776" width="9.140625" style="2" customWidth="1"/>
    <col min="11777" max="11777" width="16.7109375" style="2" customWidth="1"/>
    <col min="11778" max="11778" width="11.42578125" style="2" customWidth="1"/>
    <col min="11779" max="11779" width="3.7109375" style="2" customWidth="1"/>
    <col min="11780" max="11780" width="14.7109375" style="2" customWidth="1"/>
    <col min="11781" max="11781" width="10.7109375" style="2" customWidth="1"/>
    <col min="11782" max="11782" width="9.7109375" style="2" customWidth="1"/>
    <col min="11783" max="11783" width="13.7109375" style="2" customWidth="1"/>
    <col min="11784" max="11784" width="7.7109375" style="2" customWidth="1"/>
    <col min="11785" max="12032" width="9.140625" style="2" customWidth="1"/>
    <col min="12033" max="12033" width="16.7109375" style="2" customWidth="1"/>
    <col min="12034" max="12034" width="11.42578125" style="2" customWidth="1"/>
    <col min="12035" max="12035" width="3.7109375" style="2" customWidth="1"/>
    <col min="12036" max="12036" width="14.7109375" style="2" customWidth="1"/>
    <col min="12037" max="12037" width="10.7109375" style="2" customWidth="1"/>
    <col min="12038" max="12038" width="9.7109375" style="2" customWidth="1"/>
    <col min="12039" max="12039" width="13.7109375" style="2" customWidth="1"/>
    <col min="12040" max="12040" width="7.7109375" style="2" customWidth="1"/>
    <col min="12041" max="12288" width="9.140625" style="2" customWidth="1"/>
    <col min="12289" max="12289" width="16.7109375" style="2" customWidth="1"/>
    <col min="12290" max="12290" width="11.42578125" style="2" customWidth="1"/>
    <col min="12291" max="12291" width="3.7109375" style="2" customWidth="1"/>
    <col min="12292" max="12292" width="14.7109375" style="2" customWidth="1"/>
    <col min="12293" max="12293" width="10.7109375" style="2" customWidth="1"/>
    <col min="12294" max="12294" width="9.7109375" style="2" customWidth="1"/>
    <col min="12295" max="12295" width="13.7109375" style="2" customWidth="1"/>
    <col min="12296" max="12296" width="7.7109375" style="2" customWidth="1"/>
    <col min="12297" max="12544" width="9.140625" style="2" customWidth="1"/>
    <col min="12545" max="12545" width="16.7109375" style="2" customWidth="1"/>
    <col min="12546" max="12546" width="11.42578125" style="2" customWidth="1"/>
    <col min="12547" max="12547" width="3.7109375" style="2" customWidth="1"/>
    <col min="12548" max="12548" width="14.7109375" style="2" customWidth="1"/>
    <col min="12549" max="12549" width="10.7109375" style="2" customWidth="1"/>
    <col min="12550" max="12550" width="9.7109375" style="2" customWidth="1"/>
    <col min="12551" max="12551" width="13.7109375" style="2" customWidth="1"/>
    <col min="12552" max="12552" width="7.7109375" style="2" customWidth="1"/>
    <col min="12553" max="12800" width="9.140625" style="2" customWidth="1"/>
    <col min="12801" max="12801" width="16.7109375" style="2" customWidth="1"/>
    <col min="12802" max="12802" width="11.42578125" style="2" customWidth="1"/>
    <col min="12803" max="12803" width="3.7109375" style="2" customWidth="1"/>
    <col min="12804" max="12804" width="14.7109375" style="2" customWidth="1"/>
    <col min="12805" max="12805" width="10.7109375" style="2" customWidth="1"/>
    <col min="12806" max="12806" width="9.7109375" style="2" customWidth="1"/>
    <col min="12807" max="12807" width="13.7109375" style="2" customWidth="1"/>
    <col min="12808" max="12808" width="7.7109375" style="2" customWidth="1"/>
    <col min="12809" max="13056" width="9.140625" style="2" customWidth="1"/>
    <col min="13057" max="13057" width="16.7109375" style="2" customWidth="1"/>
    <col min="13058" max="13058" width="11.42578125" style="2" customWidth="1"/>
    <col min="13059" max="13059" width="3.7109375" style="2" customWidth="1"/>
    <col min="13060" max="13060" width="14.7109375" style="2" customWidth="1"/>
    <col min="13061" max="13061" width="10.7109375" style="2" customWidth="1"/>
    <col min="13062" max="13062" width="9.7109375" style="2" customWidth="1"/>
    <col min="13063" max="13063" width="13.7109375" style="2" customWidth="1"/>
    <col min="13064" max="13064" width="7.7109375" style="2" customWidth="1"/>
    <col min="13065" max="13312" width="9.140625" style="2" customWidth="1"/>
    <col min="13313" max="13313" width="16.7109375" style="2" customWidth="1"/>
    <col min="13314" max="13314" width="11.42578125" style="2" customWidth="1"/>
    <col min="13315" max="13315" width="3.7109375" style="2" customWidth="1"/>
    <col min="13316" max="13316" width="14.7109375" style="2" customWidth="1"/>
    <col min="13317" max="13317" width="10.7109375" style="2" customWidth="1"/>
    <col min="13318" max="13318" width="9.7109375" style="2" customWidth="1"/>
    <col min="13319" max="13319" width="13.7109375" style="2" customWidth="1"/>
    <col min="13320" max="13320" width="7.7109375" style="2" customWidth="1"/>
    <col min="13321" max="13568" width="9.140625" style="2" customWidth="1"/>
    <col min="13569" max="13569" width="16.7109375" style="2" customWidth="1"/>
    <col min="13570" max="13570" width="11.42578125" style="2" customWidth="1"/>
    <col min="13571" max="13571" width="3.7109375" style="2" customWidth="1"/>
    <col min="13572" max="13572" width="14.7109375" style="2" customWidth="1"/>
    <col min="13573" max="13573" width="10.7109375" style="2" customWidth="1"/>
    <col min="13574" max="13574" width="9.7109375" style="2" customWidth="1"/>
    <col min="13575" max="13575" width="13.7109375" style="2" customWidth="1"/>
    <col min="13576" max="13576" width="7.7109375" style="2" customWidth="1"/>
    <col min="13577" max="13824" width="9.140625" style="2" customWidth="1"/>
    <col min="13825" max="13825" width="16.7109375" style="2" customWidth="1"/>
    <col min="13826" max="13826" width="11.42578125" style="2" customWidth="1"/>
    <col min="13827" max="13827" width="3.7109375" style="2" customWidth="1"/>
    <col min="13828" max="13828" width="14.7109375" style="2" customWidth="1"/>
    <col min="13829" max="13829" width="10.7109375" style="2" customWidth="1"/>
    <col min="13830" max="13830" width="9.7109375" style="2" customWidth="1"/>
    <col min="13831" max="13831" width="13.7109375" style="2" customWidth="1"/>
    <col min="13832" max="13832" width="7.7109375" style="2" customWidth="1"/>
    <col min="13833" max="14080" width="9.140625" style="2" customWidth="1"/>
    <col min="14081" max="14081" width="16.7109375" style="2" customWidth="1"/>
    <col min="14082" max="14082" width="11.42578125" style="2" customWidth="1"/>
    <col min="14083" max="14083" width="3.7109375" style="2" customWidth="1"/>
    <col min="14084" max="14084" width="14.7109375" style="2" customWidth="1"/>
    <col min="14085" max="14085" width="10.7109375" style="2" customWidth="1"/>
    <col min="14086" max="14086" width="9.7109375" style="2" customWidth="1"/>
    <col min="14087" max="14087" width="13.7109375" style="2" customWidth="1"/>
    <col min="14088" max="14088" width="7.7109375" style="2" customWidth="1"/>
    <col min="14089" max="14336" width="9.140625" style="2" customWidth="1"/>
    <col min="14337" max="14337" width="16.7109375" style="2" customWidth="1"/>
    <col min="14338" max="14338" width="11.42578125" style="2" customWidth="1"/>
    <col min="14339" max="14339" width="3.7109375" style="2" customWidth="1"/>
    <col min="14340" max="14340" width="14.7109375" style="2" customWidth="1"/>
    <col min="14341" max="14341" width="10.7109375" style="2" customWidth="1"/>
    <col min="14342" max="14342" width="9.7109375" style="2" customWidth="1"/>
    <col min="14343" max="14343" width="13.7109375" style="2" customWidth="1"/>
    <col min="14344" max="14344" width="7.7109375" style="2" customWidth="1"/>
    <col min="14345" max="14592" width="9.140625" style="2" customWidth="1"/>
    <col min="14593" max="14593" width="16.7109375" style="2" customWidth="1"/>
    <col min="14594" max="14594" width="11.42578125" style="2" customWidth="1"/>
    <col min="14595" max="14595" width="3.7109375" style="2" customWidth="1"/>
    <col min="14596" max="14596" width="14.7109375" style="2" customWidth="1"/>
    <col min="14597" max="14597" width="10.7109375" style="2" customWidth="1"/>
    <col min="14598" max="14598" width="9.7109375" style="2" customWidth="1"/>
    <col min="14599" max="14599" width="13.7109375" style="2" customWidth="1"/>
    <col min="14600" max="14600" width="7.7109375" style="2" customWidth="1"/>
    <col min="14601" max="14848" width="9.140625" style="2" customWidth="1"/>
    <col min="14849" max="14849" width="16.7109375" style="2" customWidth="1"/>
    <col min="14850" max="14850" width="11.42578125" style="2" customWidth="1"/>
    <col min="14851" max="14851" width="3.7109375" style="2" customWidth="1"/>
    <col min="14852" max="14852" width="14.7109375" style="2" customWidth="1"/>
    <col min="14853" max="14853" width="10.7109375" style="2" customWidth="1"/>
    <col min="14854" max="14854" width="9.7109375" style="2" customWidth="1"/>
    <col min="14855" max="14855" width="13.7109375" style="2" customWidth="1"/>
    <col min="14856" max="14856" width="7.7109375" style="2" customWidth="1"/>
    <col min="14857" max="15104" width="9.140625" style="2" customWidth="1"/>
    <col min="15105" max="15105" width="16.7109375" style="2" customWidth="1"/>
    <col min="15106" max="15106" width="11.42578125" style="2" customWidth="1"/>
    <col min="15107" max="15107" width="3.7109375" style="2" customWidth="1"/>
    <col min="15108" max="15108" width="14.7109375" style="2" customWidth="1"/>
    <col min="15109" max="15109" width="10.7109375" style="2" customWidth="1"/>
    <col min="15110" max="15110" width="9.7109375" style="2" customWidth="1"/>
    <col min="15111" max="15111" width="13.7109375" style="2" customWidth="1"/>
    <col min="15112" max="15112" width="7.7109375" style="2" customWidth="1"/>
    <col min="15113" max="15360" width="9.140625" style="2" customWidth="1"/>
    <col min="15361" max="15361" width="16.7109375" style="2" customWidth="1"/>
    <col min="15362" max="15362" width="11.42578125" style="2" customWidth="1"/>
    <col min="15363" max="15363" width="3.7109375" style="2" customWidth="1"/>
    <col min="15364" max="15364" width="14.7109375" style="2" customWidth="1"/>
    <col min="15365" max="15365" width="10.7109375" style="2" customWidth="1"/>
    <col min="15366" max="15366" width="9.7109375" style="2" customWidth="1"/>
    <col min="15367" max="15367" width="13.7109375" style="2" customWidth="1"/>
    <col min="15368" max="15368" width="7.7109375" style="2" customWidth="1"/>
    <col min="15369" max="15616" width="9.140625" style="2" customWidth="1"/>
    <col min="15617" max="15617" width="16.7109375" style="2" customWidth="1"/>
    <col min="15618" max="15618" width="11.42578125" style="2" customWidth="1"/>
    <col min="15619" max="15619" width="3.7109375" style="2" customWidth="1"/>
    <col min="15620" max="15620" width="14.7109375" style="2" customWidth="1"/>
    <col min="15621" max="15621" width="10.7109375" style="2" customWidth="1"/>
    <col min="15622" max="15622" width="9.7109375" style="2" customWidth="1"/>
    <col min="15623" max="15623" width="13.7109375" style="2" customWidth="1"/>
    <col min="15624" max="15624" width="7.7109375" style="2" customWidth="1"/>
    <col min="15625" max="15872" width="9.140625" style="2" customWidth="1"/>
    <col min="15873" max="15873" width="16.7109375" style="2" customWidth="1"/>
    <col min="15874" max="15874" width="11.42578125" style="2" customWidth="1"/>
    <col min="15875" max="15875" width="3.7109375" style="2" customWidth="1"/>
    <col min="15876" max="15876" width="14.7109375" style="2" customWidth="1"/>
    <col min="15877" max="15877" width="10.7109375" style="2" customWidth="1"/>
    <col min="15878" max="15878" width="9.7109375" style="2" customWidth="1"/>
    <col min="15879" max="15879" width="13.7109375" style="2" customWidth="1"/>
    <col min="15880" max="15880" width="7.7109375" style="2" customWidth="1"/>
    <col min="15881" max="16128" width="9.140625" style="2" customWidth="1"/>
    <col min="16129" max="16129" width="16.7109375" style="2" customWidth="1"/>
    <col min="16130" max="16130" width="11.42578125" style="2" customWidth="1"/>
    <col min="16131" max="16131" width="3.7109375" style="2" customWidth="1"/>
    <col min="16132" max="16132" width="14.7109375" style="2" customWidth="1"/>
    <col min="16133" max="16133" width="10.7109375" style="2" customWidth="1"/>
    <col min="16134" max="16134" width="9.7109375" style="2" customWidth="1"/>
    <col min="16135" max="16135" width="13.7109375" style="2" customWidth="1"/>
    <col min="16136" max="16136" width="7.7109375" style="2" customWidth="1"/>
    <col min="16137" max="16384" width="9.140625" style="2" customWidth="1"/>
  </cols>
  <sheetData>
    <row r="1" spans="1:34" x14ac:dyDescent="0.2">
      <c r="A1" s="30" t="s">
        <v>232</v>
      </c>
      <c r="B1" s="1"/>
    </row>
    <row r="2" spans="1:3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 t="s">
        <v>0</v>
      </c>
      <c r="B3" s="5"/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3"/>
      <c r="AF3" s="3"/>
      <c r="AG3" s="3"/>
      <c r="AH3" s="3"/>
    </row>
    <row r="4" spans="1:34" x14ac:dyDescent="0.2">
      <c r="A4" s="3" t="s">
        <v>2</v>
      </c>
      <c r="B4" s="5">
        <v>126000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"/>
      <c r="AF4" s="3"/>
      <c r="AG4" s="3"/>
      <c r="AH4" s="3"/>
    </row>
    <row r="5" spans="1:34" x14ac:dyDescent="0.2">
      <c r="A5" s="6" t="s">
        <v>3</v>
      </c>
      <c r="B5" s="7">
        <v>99000</v>
      </c>
      <c r="C5" s="5"/>
      <c r="D5" s="5" t="s">
        <v>4</v>
      </c>
      <c r="E5" s="5">
        <v>24600</v>
      </c>
      <c r="F5" s="8" t="s">
        <v>5</v>
      </c>
      <c r="G5" s="5">
        <v>11700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3"/>
      <c r="AF5" s="3"/>
      <c r="AG5" s="3"/>
      <c r="AH5" s="3"/>
    </row>
    <row r="6" spans="1:34" x14ac:dyDescent="0.2">
      <c r="A6" s="3" t="s">
        <v>6</v>
      </c>
      <c r="B6" s="5">
        <f>B4-B5</f>
        <v>27000</v>
      </c>
      <c r="C6" s="5"/>
      <c r="D6" s="5"/>
      <c r="E6" s="5"/>
      <c r="F6" s="8" t="s">
        <v>7</v>
      </c>
      <c r="G6" s="5">
        <v>14400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3"/>
      <c r="AF6" s="3"/>
      <c r="AG6" s="3"/>
      <c r="AH6" s="3"/>
    </row>
    <row r="7" spans="1:34" x14ac:dyDescent="0.2">
      <c r="A7" s="3" t="s">
        <v>8</v>
      </c>
      <c r="B7" s="5">
        <v>7910</v>
      </c>
      <c r="C7" s="5"/>
      <c r="D7" s="5" t="s">
        <v>9</v>
      </c>
      <c r="E7" s="5">
        <v>600</v>
      </c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3"/>
      <c r="AF7" s="3"/>
      <c r="AG7" s="3"/>
      <c r="AH7" s="3"/>
    </row>
    <row r="8" spans="1:34" x14ac:dyDescent="0.2">
      <c r="A8" s="3" t="s">
        <v>10</v>
      </c>
      <c r="B8" s="5">
        <v>1090</v>
      </c>
      <c r="C8" s="5"/>
      <c r="D8" s="5" t="s">
        <v>11</v>
      </c>
      <c r="E8" s="5">
        <v>8400</v>
      </c>
      <c r="F8" s="8" t="s">
        <v>12</v>
      </c>
      <c r="G8" s="5">
        <v>7500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3"/>
      <c r="AG8" s="3"/>
      <c r="AH8" s="3"/>
    </row>
    <row r="9" spans="1:34" x14ac:dyDescent="0.2">
      <c r="A9" s="3" t="s">
        <v>13</v>
      </c>
      <c r="B9" s="5">
        <v>1800</v>
      </c>
      <c r="C9" s="5"/>
      <c r="D9" s="5" t="s">
        <v>14</v>
      </c>
      <c r="E9" s="5">
        <v>12600</v>
      </c>
      <c r="F9" s="8" t="s">
        <v>15</v>
      </c>
      <c r="G9" s="5">
        <v>7800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3"/>
      <c r="AF9" s="3"/>
      <c r="AG9" s="3"/>
      <c r="AH9" s="3"/>
    </row>
    <row r="10" spans="1:34" x14ac:dyDescent="0.2">
      <c r="A10" s="3" t="s">
        <v>16</v>
      </c>
      <c r="B10" s="5">
        <v>2520</v>
      </c>
      <c r="C10" s="5"/>
      <c r="D10" s="5" t="s">
        <v>17</v>
      </c>
      <c r="E10" s="5">
        <v>1200</v>
      </c>
      <c r="F10" s="8" t="s">
        <v>18</v>
      </c>
      <c r="G10" s="5">
        <v>2100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"/>
      <c r="AF10" s="3"/>
      <c r="AG10" s="3"/>
      <c r="AH10" s="3"/>
    </row>
    <row r="11" spans="1:34" x14ac:dyDescent="0.2">
      <c r="A11" s="3" t="s">
        <v>19</v>
      </c>
      <c r="B11" s="5">
        <v>2880</v>
      </c>
      <c r="C11" s="5"/>
      <c r="D11" s="5"/>
      <c r="E11" s="5"/>
      <c r="F11" s="8" t="s">
        <v>20</v>
      </c>
      <c r="G11" s="5">
        <v>720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"/>
      <c r="AF11" s="3"/>
      <c r="AG11" s="3"/>
      <c r="AH11" s="3"/>
    </row>
    <row r="12" spans="1:34" x14ac:dyDescent="0.2">
      <c r="A12" s="6" t="s">
        <v>21</v>
      </c>
      <c r="B12" s="7">
        <v>2520</v>
      </c>
      <c r="C12" s="5"/>
      <c r="D12" s="5"/>
      <c r="E12" s="5"/>
      <c r="F12" s="8" t="s">
        <v>22</v>
      </c>
      <c r="G12" s="5">
        <v>180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3"/>
      <c r="AF12" s="3"/>
      <c r="AG12" s="3"/>
      <c r="AH12" s="3"/>
    </row>
    <row r="13" spans="1:34" x14ac:dyDescent="0.2">
      <c r="A13" s="3" t="s">
        <v>23</v>
      </c>
      <c r="B13" s="5">
        <f>B6-SUM(B7:B12)</f>
        <v>8280</v>
      </c>
      <c r="C13" s="5"/>
      <c r="D13" s="5"/>
      <c r="E13" s="5"/>
      <c r="F13" s="8" t="s">
        <v>24</v>
      </c>
      <c r="G13" s="5">
        <v>600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3"/>
      <c r="AF13" s="3"/>
      <c r="AG13" s="3"/>
      <c r="AH13" s="3"/>
    </row>
    <row r="14" spans="1:34" x14ac:dyDescent="0.2">
      <c r="A14" s="3" t="s">
        <v>25</v>
      </c>
      <c r="B14" s="5"/>
      <c r="C14" s="5"/>
      <c r="D14" s="5"/>
      <c r="E14" s="5"/>
      <c r="F14" s="8" t="s">
        <v>26</v>
      </c>
      <c r="G14" s="5">
        <v>900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3"/>
      <c r="AF14" s="3"/>
      <c r="AG14" s="3"/>
      <c r="AH14" s="3"/>
    </row>
    <row r="15" spans="1:34" x14ac:dyDescent="0.2">
      <c r="A15" s="6" t="s">
        <v>27</v>
      </c>
      <c r="B15" s="7">
        <v>1800</v>
      </c>
      <c r="C15" s="5"/>
      <c r="D15" s="7"/>
      <c r="E15" s="7"/>
      <c r="F15" s="9" t="s">
        <v>28</v>
      </c>
      <c r="G15" s="7">
        <v>1500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3"/>
      <c r="AF15" s="3"/>
      <c r="AG15" s="3"/>
      <c r="AH15" s="3"/>
    </row>
    <row r="16" spans="1:34" x14ac:dyDescent="0.2">
      <c r="A16" s="3" t="s">
        <v>29</v>
      </c>
      <c r="B16" s="5">
        <f>B13-B15</f>
        <v>6480</v>
      </c>
      <c r="C16" s="5"/>
      <c r="D16" s="10" t="s">
        <v>30</v>
      </c>
      <c r="E16" s="10">
        <f>SUM(E5:E15)</f>
        <v>47400</v>
      </c>
      <c r="F16" s="11" t="s">
        <v>31</v>
      </c>
      <c r="G16" s="10">
        <f>SUM(G5:G15)</f>
        <v>47400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3"/>
      <c r="AF16" s="3"/>
      <c r="AG16" s="3"/>
      <c r="AH16" s="3"/>
    </row>
    <row r="17" spans="1:3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3"/>
      <c r="AF17" s="3"/>
      <c r="AG17" s="3"/>
      <c r="AH17" s="3"/>
    </row>
    <row r="18" spans="1:34" x14ac:dyDescent="0.2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3"/>
      <c r="AF18" s="3"/>
      <c r="AG18" s="3"/>
      <c r="AH18" s="3"/>
    </row>
    <row r="19" spans="1:34" x14ac:dyDescent="0.2">
      <c r="A19" s="4" t="s">
        <v>32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3"/>
      <c r="AF19" s="3"/>
      <c r="AG19" s="3"/>
      <c r="AH19" s="3"/>
    </row>
    <row r="20" spans="1:34" x14ac:dyDescent="0.2">
      <c r="A20" s="3" t="s">
        <v>33</v>
      </c>
      <c r="B20" s="5">
        <v>139482</v>
      </c>
      <c r="C20" s="5"/>
      <c r="D20" s="5" t="s">
        <v>34</v>
      </c>
      <c r="E20" s="12">
        <v>0.25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3"/>
      <c r="AF20" s="3"/>
      <c r="AG20" s="3"/>
      <c r="AH20" s="3"/>
    </row>
    <row r="21" spans="1:34" x14ac:dyDescent="0.2">
      <c r="A21" s="3" t="s">
        <v>35</v>
      </c>
      <c r="B21" s="5">
        <v>1500</v>
      </c>
      <c r="C21" s="5"/>
      <c r="D21" s="5" t="s">
        <v>36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3"/>
      <c r="AF21" s="3"/>
      <c r="AG21" s="3"/>
      <c r="AH21" s="3"/>
    </row>
    <row r="22" spans="1:34" x14ac:dyDescent="0.2">
      <c r="A22" s="13" t="s">
        <v>37</v>
      </c>
      <c r="B22" s="5"/>
      <c r="C22" s="5"/>
      <c r="D22" s="3" t="s">
        <v>38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3"/>
      <c r="AF22" s="3"/>
      <c r="AG22" s="3"/>
      <c r="AH22" s="3"/>
    </row>
    <row r="23" spans="1:34" x14ac:dyDescent="0.2">
      <c r="A23" s="3" t="s">
        <v>39</v>
      </c>
      <c r="B23" s="5">
        <v>114693</v>
      </c>
      <c r="C23" s="5"/>
      <c r="D23" s="5" t="s">
        <v>40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3"/>
      <c r="AF23" s="3"/>
      <c r="AG23" s="3"/>
      <c r="AH23" s="3"/>
    </row>
    <row r="24" spans="1:34" x14ac:dyDescent="0.2">
      <c r="A24" s="3" t="s">
        <v>41</v>
      </c>
      <c r="B24" s="5">
        <v>7053</v>
      </c>
      <c r="C24" s="5"/>
      <c r="D24" s="5" t="s">
        <v>266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3"/>
      <c r="AF24" s="3"/>
      <c r="AG24" s="3"/>
      <c r="AH24" s="3"/>
    </row>
    <row r="25" spans="1:34" x14ac:dyDescent="0.2">
      <c r="A25" s="3" t="s">
        <v>10</v>
      </c>
      <c r="B25" s="5">
        <v>1064</v>
      </c>
      <c r="C25" s="5"/>
      <c r="D25" s="5" t="s">
        <v>42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3"/>
      <c r="AF25" s="3"/>
      <c r="AG25" s="3"/>
      <c r="AH25" s="3"/>
    </row>
    <row r="26" spans="1:34" x14ac:dyDescent="0.2">
      <c r="A26" s="3" t="s">
        <v>43</v>
      </c>
      <c r="B26" s="5">
        <v>8118</v>
      </c>
      <c r="C26" s="5"/>
      <c r="D26" s="5" t="s">
        <v>44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3"/>
      <c r="AF26" s="3"/>
      <c r="AG26" s="3"/>
      <c r="AH26" s="3"/>
    </row>
    <row r="27" spans="1:34" x14ac:dyDescent="0.2">
      <c r="A27" s="3" t="s">
        <v>45</v>
      </c>
      <c r="B27" s="5">
        <v>3690</v>
      </c>
      <c r="C27" s="5"/>
      <c r="D27" s="5" t="s">
        <v>46</v>
      </c>
      <c r="E27" s="5"/>
      <c r="F27" s="5"/>
      <c r="G27" s="14">
        <v>600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3"/>
      <c r="AF27" s="3"/>
      <c r="AG27" s="3"/>
      <c r="AH27" s="3"/>
    </row>
    <row r="28" spans="1:34" x14ac:dyDescent="0.2">
      <c r="A28" s="3" t="s">
        <v>47</v>
      </c>
      <c r="B28" s="5">
        <v>2310</v>
      </c>
      <c r="C28" s="5"/>
      <c r="D28" s="5" t="s">
        <v>48</v>
      </c>
      <c r="E28" s="5"/>
      <c r="F28" s="5"/>
      <c r="G28" s="5">
        <v>700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3"/>
      <c r="AF28" s="3"/>
      <c r="AG28" s="3"/>
      <c r="AH28" s="3"/>
    </row>
    <row r="29" spans="1:34" x14ac:dyDescent="0.2">
      <c r="A29" s="3" t="s">
        <v>49</v>
      </c>
      <c r="B29" s="5">
        <v>1350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3"/>
      <c r="AF29" s="3"/>
      <c r="AG29" s="3"/>
      <c r="AH29" s="3"/>
    </row>
    <row r="30" spans="1:34" x14ac:dyDescent="0.2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3"/>
      <c r="AF30" s="3"/>
      <c r="AG30" s="3"/>
      <c r="AH30" s="3"/>
    </row>
    <row r="31" spans="1:34" x14ac:dyDescent="0.2">
      <c r="A31" s="1" t="s">
        <v>50</v>
      </c>
      <c r="E31" s="15" t="s">
        <v>264</v>
      </c>
      <c r="F31" s="16"/>
      <c r="G31" s="16"/>
      <c r="H31" s="1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3"/>
      <c r="AF31" s="3"/>
      <c r="AG31" s="3"/>
      <c r="AH31" s="3"/>
    </row>
    <row r="32" spans="1:34" x14ac:dyDescent="0.2">
      <c r="A32" s="2" t="s">
        <v>51</v>
      </c>
      <c r="B32" s="18">
        <f>E5</f>
        <v>24600</v>
      </c>
      <c r="E32" s="8"/>
      <c r="F32" s="19"/>
      <c r="G32" s="19"/>
      <c r="H32" s="2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3"/>
      <c r="AF32" s="3"/>
      <c r="AG32" s="3"/>
      <c r="AH32" s="3"/>
    </row>
    <row r="33" spans="1:34" x14ac:dyDescent="0.2">
      <c r="A33" s="2" t="s">
        <v>52</v>
      </c>
      <c r="B33" s="18">
        <f>B28/(1+E20)</f>
        <v>1848</v>
      </c>
      <c r="E33" s="8" t="s">
        <v>4</v>
      </c>
      <c r="F33" s="19">
        <f>B35</f>
        <v>23928</v>
      </c>
      <c r="G33" s="8" t="s">
        <v>5</v>
      </c>
      <c r="H33" s="64">
        <f>G5</f>
        <v>11700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3"/>
      <c r="AF33" s="3"/>
      <c r="AG33" s="3"/>
      <c r="AH33" s="3"/>
    </row>
    <row r="34" spans="1:34" x14ac:dyDescent="0.2">
      <c r="A34" s="21" t="s">
        <v>53</v>
      </c>
      <c r="B34" s="22">
        <f>B12</f>
        <v>2520</v>
      </c>
      <c r="E34" s="8"/>
      <c r="F34" s="19"/>
      <c r="G34" s="23" t="s">
        <v>54</v>
      </c>
      <c r="H34" s="64">
        <f>B16*(1-0.27)</f>
        <v>4730.3999999999996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3"/>
      <c r="AF34" s="3"/>
      <c r="AG34" s="3"/>
      <c r="AH34" s="3"/>
    </row>
    <row r="35" spans="1:34" x14ac:dyDescent="0.2">
      <c r="A35" s="2" t="s">
        <v>55</v>
      </c>
      <c r="B35" s="24">
        <f>B32+B33-B34</f>
        <v>23928</v>
      </c>
      <c r="E35" s="8" t="s">
        <v>9</v>
      </c>
      <c r="F35" s="25">
        <v>0</v>
      </c>
      <c r="G35" s="8" t="s">
        <v>7</v>
      </c>
      <c r="H35" s="64">
        <f>G6-B29+B21</f>
        <v>14550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3"/>
      <c r="AF35" s="3"/>
      <c r="AG35" s="3"/>
      <c r="AH35" s="3"/>
    </row>
    <row r="36" spans="1:34" x14ac:dyDescent="0.2">
      <c r="E36" s="8" t="s">
        <v>11</v>
      </c>
      <c r="F36" s="19">
        <f>E8</f>
        <v>8400</v>
      </c>
      <c r="G36" s="26"/>
      <c r="H36" s="6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3"/>
      <c r="AF36" s="3"/>
      <c r="AG36" s="3"/>
      <c r="AH36" s="3"/>
    </row>
    <row r="37" spans="1:34" x14ac:dyDescent="0.2">
      <c r="A37" s="1" t="s">
        <v>56</v>
      </c>
      <c r="E37" s="8" t="s">
        <v>14</v>
      </c>
      <c r="F37" s="19">
        <f>B42</f>
        <v>18018</v>
      </c>
      <c r="G37" s="8" t="s">
        <v>57</v>
      </c>
      <c r="H37" s="64">
        <f>H44-(H33+H34+H35+H38+H39+H40+H41+H42+H43)</f>
        <v>4353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3"/>
      <c r="AF37" s="3"/>
      <c r="AG37" s="3"/>
      <c r="AH37" s="3"/>
    </row>
    <row r="38" spans="1:34" x14ac:dyDescent="0.2">
      <c r="A38" s="2" t="s">
        <v>51</v>
      </c>
      <c r="B38" s="18">
        <f>E9</f>
        <v>12600</v>
      </c>
      <c r="D38" s="66"/>
      <c r="E38" s="8" t="s">
        <v>58</v>
      </c>
      <c r="F38" s="19">
        <f>E10-G27</f>
        <v>600</v>
      </c>
      <c r="G38" s="8" t="s">
        <v>15</v>
      </c>
      <c r="H38" s="64">
        <f>B49</f>
        <v>9057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</row>
    <row r="39" spans="1:34" x14ac:dyDescent="0.2">
      <c r="A39" s="2" t="s">
        <v>59</v>
      </c>
      <c r="B39" s="18">
        <f>B4*(1+E20)</f>
        <v>157500</v>
      </c>
      <c r="E39" s="8"/>
      <c r="F39" s="19"/>
      <c r="G39" s="8" t="s">
        <v>60</v>
      </c>
      <c r="H39" s="64">
        <f>B16*0.27</f>
        <v>1749.6000000000001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3"/>
      <c r="AF39" s="3"/>
      <c r="AG39" s="3"/>
      <c r="AH39" s="3"/>
    </row>
    <row r="40" spans="1:34" x14ac:dyDescent="0.2">
      <c r="A40" s="2" t="s">
        <v>61</v>
      </c>
      <c r="B40" s="18">
        <f>E9</f>
        <v>12600</v>
      </c>
      <c r="E40" s="8"/>
      <c r="F40" s="19"/>
      <c r="G40" s="8" t="s">
        <v>62</v>
      </c>
      <c r="H40" s="64">
        <f>B59</f>
        <v>1518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3"/>
      <c r="AF40" s="3"/>
      <c r="AG40" s="3"/>
      <c r="AH40" s="3"/>
    </row>
    <row r="41" spans="1:34" x14ac:dyDescent="0.2">
      <c r="A41" s="21" t="s">
        <v>63</v>
      </c>
      <c r="B41" s="22">
        <f>B20</f>
        <v>139482</v>
      </c>
      <c r="E41" s="8"/>
      <c r="F41" s="19"/>
      <c r="G41" s="8" t="s">
        <v>64</v>
      </c>
      <c r="H41" s="64">
        <f>E51</f>
        <v>206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3"/>
      <c r="AF41" s="3"/>
      <c r="AG41" s="3"/>
      <c r="AH41" s="3"/>
    </row>
    <row r="42" spans="1:34" x14ac:dyDescent="0.2">
      <c r="A42" s="2" t="s">
        <v>55</v>
      </c>
      <c r="B42" s="24">
        <f>B38+B39-B40-B41</f>
        <v>18018</v>
      </c>
      <c r="E42" s="8"/>
      <c r="F42" s="19"/>
      <c r="G42" s="8" t="s">
        <v>26</v>
      </c>
      <c r="H42" s="64">
        <f>G28</f>
        <v>700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3"/>
      <c r="AF42" s="3"/>
      <c r="AG42" s="3"/>
      <c r="AH42" s="3"/>
    </row>
    <row r="43" spans="1:34" x14ac:dyDescent="0.2">
      <c r="E43" s="26"/>
      <c r="G43" s="8" t="s">
        <v>28</v>
      </c>
      <c r="H43" s="64">
        <f>E57</f>
        <v>2382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"/>
      <c r="AF43" s="3"/>
      <c r="AG43" s="3"/>
      <c r="AH43" s="3"/>
    </row>
    <row r="44" spans="1:34" x14ac:dyDescent="0.2">
      <c r="A44" s="1" t="s">
        <v>65</v>
      </c>
      <c r="E44" s="27" t="s">
        <v>30</v>
      </c>
      <c r="F44" s="28">
        <f>SUM(F33:F43)</f>
        <v>50946</v>
      </c>
      <c r="G44" s="27" t="s">
        <v>31</v>
      </c>
      <c r="H44" s="29">
        <f>F44</f>
        <v>50946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"/>
      <c r="AF44" s="3"/>
      <c r="AG44" s="3"/>
      <c r="AH44" s="3"/>
    </row>
    <row r="45" spans="1:34" x14ac:dyDescent="0.2">
      <c r="A45" s="2" t="s">
        <v>51</v>
      </c>
      <c r="B45" s="5">
        <f>G9</f>
        <v>7800</v>
      </c>
      <c r="C45" s="5"/>
      <c r="D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3"/>
      <c r="AF45" s="3"/>
      <c r="AG45" s="3"/>
      <c r="AH45" s="3"/>
    </row>
    <row r="46" spans="1:34" x14ac:dyDescent="0.2">
      <c r="A46" s="3" t="s">
        <v>66</v>
      </c>
      <c r="B46" s="5">
        <f>B5*(1+E20)</f>
        <v>123750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"/>
      <c r="AF46" s="3"/>
      <c r="AG46" s="3"/>
      <c r="AH46" s="3"/>
    </row>
    <row r="47" spans="1:34" x14ac:dyDescent="0.2">
      <c r="A47" s="3" t="s">
        <v>67</v>
      </c>
      <c r="B47" s="5">
        <f>B23</f>
        <v>114693</v>
      </c>
      <c r="C47" s="5"/>
      <c r="D47" s="4" t="s">
        <v>68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"/>
      <c r="AF47" s="3"/>
      <c r="AG47" s="3"/>
      <c r="AH47" s="3"/>
    </row>
    <row r="48" spans="1:34" x14ac:dyDescent="0.2">
      <c r="A48" s="6" t="s">
        <v>69</v>
      </c>
      <c r="B48" s="7">
        <f>G9</f>
        <v>7800</v>
      </c>
      <c r="C48" s="5"/>
      <c r="D48" s="3" t="s">
        <v>51</v>
      </c>
      <c r="E48" s="5">
        <f>G12</f>
        <v>180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"/>
      <c r="AF48" s="3"/>
      <c r="AG48" s="3"/>
      <c r="AH48" s="3"/>
    </row>
    <row r="49" spans="1:34" x14ac:dyDescent="0.2">
      <c r="A49" s="3" t="s">
        <v>55</v>
      </c>
      <c r="B49" s="10">
        <f>B45+B46-B47-B48</f>
        <v>9057</v>
      </c>
      <c r="C49" s="5"/>
      <c r="D49" s="3" t="s">
        <v>70</v>
      </c>
      <c r="E49" s="5">
        <f>B8</f>
        <v>1090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3"/>
      <c r="AF49" s="3"/>
      <c r="AG49" s="3"/>
      <c r="AH49" s="3"/>
    </row>
    <row r="50" spans="1:34" x14ac:dyDescent="0.2">
      <c r="A50" s="3"/>
      <c r="B50" s="5"/>
      <c r="C50" s="5"/>
      <c r="D50" s="6" t="s">
        <v>71</v>
      </c>
      <c r="E50" s="7">
        <f>B25</f>
        <v>1064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3"/>
      <c r="AF50" s="3"/>
      <c r="AG50" s="3"/>
      <c r="AH50" s="3"/>
    </row>
    <row r="51" spans="1:34" x14ac:dyDescent="0.2">
      <c r="A51" s="1" t="s">
        <v>72</v>
      </c>
      <c r="B51" s="5"/>
      <c r="C51" s="5"/>
      <c r="D51" s="3" t="s">
        <v>55</v>
      </c>
      <c r="E51" s="5">
        <f>E48+E49-E50</f>
        <v>206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3"/>
      <c r="AF51" s="3"/>
      <c r="AG51" s="3"/>
      <c r="AH51" s="3"/>
    </row>
    <row r="52" spans="1:34" x14ac:dyDescent="0.2">
      <c r="A52" s="3" t="s">
        <v>73</v>
      </c>
      <c r="B52" s="5">
        <f>B4*$E$20</f>
        <v>31500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3"/>
      <c r="AF52" s="3"/>
      <c r="AG52" s="3"/>
      <c r="AH52" s="3"/>
    </row>
    <row r="53" spans="1:34" x14ac:dyDescent="0.2">
      <c r="A53" s="3" t="s">
        <v>74</v>
      </c>
      <c r="B53" s="5">
        <f>B5*$E$20</f>
        <v>24750</v>
      </c>
      <c r="C53" s="5" t="s">
        <v>75</v>
      </c>
      <c r="D53" s="10" t="s">
        <v>76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3"/>
      <c r="AF53" s="3"/>
      <c r="AG53" s="3"/>
      <c r="AH53" s="3"/>
    </row>
    <row r="54" spans="1:34" x14ac:dyDescent="0.2">
      <c r="A54" s="3" t="s">
        <v>77</v>
      </c>
      <c r="B54" s="5">
        <f>(B9+B10+B11)*$E$20</f>
        <v>1800</v>
      </c>
      <c r="C54" s="5"/>
      <c r="D54" s="5" t="s">
        <v>51</v>
      </c>
      <c r="E54" s="5">
        <f>G15</f>
        <v>1500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3"/>
      <c r="AF54" s="3"/>
      <c r="AG54" s="3"/>
      <c r="AH54" s="3"/>
    </row>
    <row r="55" spans="1:34" x14ac:dyDescent="0.2">
      <c r="A55" s="6" t="s">
        <v>78</v>
      </c>
      <c r="B55" s="7">
        <f>B28*$E$20/(1+$E$20)</f>
        <v>462</v>
      </c>
      <c r="C55" s="5"/>
      <c r="D55" s="5" t="s">
        <v>79</v>
      </c>
      <c r="E55" s="5">
        <f>(B9+B10+B11)*(1+E20)</f>
        <v>9000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3"/>
      <c r="AF55" s="3"/>
      <c r="AG55" s="3"/>
      <c r="AH55" s="3"/>
    </row>
    <row r="56" spans="1:34" x14ac:dyDescent="0.2">
      <c r="A56" s="3" t="s">
        <v>80</v>
      </c>
      <c r="B56" s="5">
        <f>B52-B53-B54-B55</f>
        <v>4488</v>
      </c>
      <c r="C56" s="5"/>
      <c r="D56" s="7" t="s">
        <v>81</v>
      </c>
      <c r="E56" s="7">
        <f>B26</f>
        <v>8118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3"/>
      <c r="AF56" s="3"/>
      <c r="AG56" s="3"/>
      <c r="AH56" s="3"/>
    </row>
    <row r="57" spans="1:34" x14ac:dyDescent="0.2">
      <c r="A57" s="3" t="s">
        <v>82</v>
      </c>
      <c r="B57" s="5">
        <f>B27</f>
        <v>3690</v>
      </c>
      <c r="C57" s="5"/>
      <c r="D57" s="5" t="s">
        <v>55</v>
      </c>
      <c r="E57" s="5">
        <f>E54+E55-E56</f>
        <v>2382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3"/>
      <c r="AF57" s="3"/>
      <c r="AG57" s="3"/>
      <c r="AH57" s="3"/>
    </row>
    <row r="58" spans="1:34" x14ac:dyDescent="0.2">
      <c r="A58" s="21" t="s">
        <v>51</v>
      </c>
      <c r="B58" s="7">
        <f>G11</f>
        <v>720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3"/>
      <c r="AF58" s="3"/>
      <c r="AG58" s="3"/>
      <c r="AH58" s="3"/>
    </row>
    <row r="59" spans="1:34" x14ac:dyDescent="0.2">
      <c r="A59" s="2" t="s">
        <v>55</v>
      </c>
      <c r="B59" s="24">
        <f>B58+B56-B57</f>
        <v>1518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3"/>
      <c r="AF59" s="3"/>
      <c r="AG59" s="3"/>
      <c r="AH59" s="3"/>
    </row>
    <row r="60" spans="1:34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3"/>
      <c r="AF60" s="3"/>
      <c r="AG60" s="3"/>
      <c r="AH60" s="3"/>
    </row>
    <row r="61" spans="1:34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3"/>
      <c r="AF61" s="3"/>
      <c r="AG61" s="3"/>
      <c r="AH61" s="3"/>
    </row>
    <row r="62" spans="1:34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3"/>
      <c r="AF62" s="3"/>
      <c r="AG62" s="3"/>
      <c r="AH62" s="3"/>
    </row>
    <row r="63" spans="1:34" x14ac:dyDescent="0.2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3"/>
      <c r="AF63" s="3"/>
      <c r="AG63" s="3"/>
      <c r="AH63" s="3"/>
    </row>
    <row r="64" spans="1:34" x14ac:dyDescent="0.2">
      <c r="A64" s="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3"/>
      <c r="AF64" s="3"/>
      <c r="AG64" s="3"/>
      <c r="AH64" s="3"/>
    </row>
    <row r="65" spans="1:34" x14ac:dyDescent="0.2">
      <c r="A65" s="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3"/>
      <c r="AF65" s="3"/>
      <c r="AG65" s="3"/>
      <c r="AH65" s="3"/>
    </row>
    <row r="66" spans="1:34" x14ac:dyDescent="0.2">
      <c r="A66" s="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3"/>
      <c r="AF66" s="3"/>
      <c r="AG66" s="3"/>
      <c r="AH66" s="3"/>
    </row>
    <row r="67" spans="1:34" x14ac:dyDescent="0.2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3"/>
      <c r="AF67" s="3"/>
      <c r="AG67" s="3"/>
      <c r="AH67" s="3"/>
    </row>
    <row r="68" spans="1:34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3"/>
      <c r="AF68" s="3"/>
      <c r="AG68" s="3"/>
      <c r="AH68" s="3"/>
    </row>
    <row r="69" spans="1:34" x14ac:dyDescent="0.2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3"/>
      <c r="AF69" s="3"/>
      <c r="AG69" s="3"/>
      <c r="AH69" s="3"/>
    </row>
    <row r="70" spans="1:34" x14ac:dyDescent="0.2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3"/>
      <c r="AF70" s="3"/>
      <c r="AG70" s="3"/>
      <c r="AH70" s="3"/>
    </row>
    <row r="71" spans="1:34" x14ac:dyDescent="0.2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3"/>
      <c r="AF71" s="3"/>
      <c r="AG71" s="3"/>
      <c r="AH71" s="3"/>
    </row>
    <row r="72" spans="1:34" x14ac:dyDescent="0.2">
      <c r="A72" s="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3"/>
      <c r="AF72" s="3"/>
      <c r="AG72" s="3"/>
      <c r="AH72" s="3"/>
    </row>
    <row r="73" spans="1:34" x14ac:dyDescent="0.2">
      <c r="A73" s="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3"/>
      <c r="AF73" s="3"/>
      <c r="AG73" s="3"/>
      <c r="AH73" s="3"/>
    </row>
    <row r="74" spans="1:34" x14ac:dyDescent="0.2">
      <c r="A74" s="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3"/>
      <c r="AF74" s="3"/>
      <c r="AG74" s="3"/>
      <c r="AH74" s="3"/>
    </row>
    <row r="75" spans="1:34" x14ac:dyDescent="0.2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3"/>
      <c r="AF75" s="3"/>
      <c r="AG75" s="3"/>
      <c r="AH75" s="3"/>
    </row>
    <row r="76" spans="1:34" x14ac:dyDescent="0.2">
      <c r="A76" s="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3"/>
      <c r="AF76" s="3"/>
      <c r="AG76" s="3"/>
      <c r="AH76" s="3"/>
    </row>
    <row r="77" spans="1:34" x14ac:dyDescent="0.2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3"/>
      <c r="AF77" s="3"/>
      <c r="AG77" s="3"/>
      <c r="AH77" s="3"/>
    </row>
    <row r="78" spans="1:34" x14ac:dyDescent="0.2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3"/>
      <c r="AF78" s="3"/>
      <c r="AG78" s="3"/>
      <c r="AH78" s="3"/>
    </row>
    <row r="79" spans="1:34" x14ac:dyDescent="0.2">
      <c r="A79" s="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3"/>
      <c r="AF79" s="3"/>
      <c r="AG79" s="3"/>
      <c r="AH79" s="3"/>
    </row>
    <row r="80" spans="1:34" x14ac:dyDescent="0.2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3"/>
      <c r="AF80" s="3"/>
      <c r="AG80" s="3"/>
      <c r="AH80" s="3"/>
    </row>
    <row r="81" spans="1:34" x14ac:dyDescent="0.2">
      <c r="A81" s="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"/>
      <c r="AF81" s="3"/>
      <c r="AG81" s="3"/>
      <c r="AH81" s="3"/>
    </row>
    <row r="82" spans="1:34" x14ac:dyDescent="0.2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3"/>
      <c r="AF82" s="3"/>
      <c r="AG82" s="3"/>
      <c r="AH82" s="3"/>
    </row>
    <row r="83" spans="1:34" x14ac:dyDescent="0.2">
      <c r="A83" s="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3"/>
      <c r="AF83" s="3"/>
      <c r="AG83" s="3"/>
      <c r="AH83" s="3"/>
    </row>
    <row r="84" spans="1:34" x14ac:dyDescent="0.2">
      <c r="A84" s="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3"/>
      <c r="AF84" s="3"/>
      <c r="AG84" s="3"/>
      <c r="AH84" s="3"/>
    </row>
    <row r="85" spans="1:34" x14ac:dyDescent="0.2">
      <c r="A85" s="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3"/>
      <c r="AF85" s="3"/>
      <c r="AG85" s="3"/>
      <c r="AH85" s="3"/>
    </row>
    <row r="86" spans="1:34" x14ac:dyDescent="0.2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3"/>
      <c r="AF86" s="3"/>
      <c r="AG86" s="3"/>
      <c r="AH86" s="3"/>
    </row>
    <row r="87" spans="1:34" x14ac:dyDescent="0.2">
      <c r="A87" s="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3"/>
      <c r="AF87" s="3"/>
      <c r="AG87" s="3"/>
      <c r="AH87" s="3"/>
    </row>
    <row r="88" spans="1:34" x14ac:dyDescent="0.2">
      <c r="A88" s="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3"/>
      <c r="AF88" s="3"/>
      <c r="AG88" s="3"/>
      <c r="AH88" s="3"/>
    </row>
    <row r="89" spans="1:34" x14ac:dyDescent="0.2">
      <c r="A89" s="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"/>
      <c r="AF89" s="3"/>
      <c r="AG89" s="3"/>
      <c r="AH89" s="3"/>
    </row>
    <row r="90" spans="1:34" x14ac:dyDescent="0.2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3"/>
      <c r="AF90" s="3"/>
      <c r="AG90" s="3"/>
      <c r="AH90" s="3"/>
    </row>
    <row r="91" spans="1:34" x14ac:dyDescent="0.2">
      <c r="A91" s="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3"/>
      <c r="AF91" s="3"/>
      <c r="AG91" s="3"/>
      <c r="AH91" s="3"/>
    </row>
    <row r="92" spans="1:34" x14ac:dyDescent="0.2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3"/>
      <c r="AF92" s="3"/>
      <c r="AG92" s="3"/>
      <c r="AH92" s="3"/>
    </row>
    <row r="93" spans="1:34" x14ac:dyDescent="0.2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3"/>
      <c r="AF93" s="3"/>
      <c r="AG93" s="3"/>
      <c r="AH93" s="3"/>
    </row>
    <row r="94" spans="1:34" x14ac:dyDescent="0.2">
      <c r="A94" s="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3"/>
      <c r="AF94" s="3"/>
      <c r="AG94" s="3"/>
      <c r="AH94" s="3"/>
    </row>
    <row r="95" spans="1:34" x14ac:dyDescent="0.2">
      <c r="A95" s="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3"/>
      <c r="AF95" s="3"/>
      <c r="AG95" s="3"/>
      <c r="AH95" s="3"/>
    </row>
    <row r="96" spans="1:34" x14ac:dyDescent="0.2">
      <c r="A96" s="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3"/>
      <c r="AF96" s="3"/>
      <c r="AG96" s="3"/>
      <c r="AH96" s="3"/>
    </row>
    <row r="97" spans="1:34" x14ac:dyDescent="0.2">
      <c r="A97" s="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3"/>
      <c r="AF97" s="3"/>
      <c r="AG97" s="3"/>
      <c r="AH97" s="3"/>
    </row>
    <row r="98" spans="1:34" x14ac:dyDescent="0.2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3"/>
      <c r="AF98" s="3"/>
      <c r="AG98" s="3"/>
      <c r="AH98" s="3"/>
    </row>
    <row r="99" spans="1:34" x14ac:dyDescent="0.2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"/>
      <c r="AF99" s="3"/>
      <c r="AG99" s="3"/>
      <c r="AH99" s="3"/>
    </row>
    <row r="100" spans="1:34" x14ac:dyDescent="0.2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"/>
      <c r="AF100" s="3"/>
      <c r="AG100" s="3"/>
      <c r="AH100" s="3"/>
    </row>
    <row r="101" spans="1:34" x14ac:dyDescent="0.2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3"/>
      <c r="AF101" s="3"/>
      <c r="AG101" s="3"/>
      <c r="AH101" s="3"/>
    </row>
    <row r="102" spans="1:34" x14ac:dyDescent="0.2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"/>
      <c r="AF102" s="3"/>
      <c r="AG102" s="3"/>
      <c r="AH102" s="3"/>
    </row>
    <row r="103" spans="1:3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</sheetData>
  <pageMargins left="0.19685039370078741" right="0.19685039370078741" top="0.19685039370078741" bottom="0.19685039370078741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2" sqref="B2"/>
    </sheetView>
  </sheetViews>
  <sheetFormatPr baseColWidth="10" defaultRowHeight="15" x14ac:dyDescent="0.25"/>
  <cols>
    <col min="1" max="1" width="22.85546875" style="71" customWidth="1"/>
    <col min="2" max="4" width="12.7109375" style="71" customWidth="1"/>
    <col min="5" max="5" width="19.7109375" style="71" customWidth="1"/>
    <col min="6" max="6" width="13.42578125" style="71" customWidth="1"/>
    <col min="7" max="7" width="17.140625" style="71" customWidth="1"/>
    <col min="8" max="8" width="14.28515625" style="71" customWidth="1"/>
    <col min="9" max="9" width="13.28515625" style="71" customWidth="1"/>
    <col min="10" max="16384" width="11.42578125" style="71"/>
  </cols>
  <sheetData>
    <row r="1" spans="1:9" ht="15.75" x14ac:dyDescent="0.25">
      <c r="A1" s="113" t="s">
        <v>263</v>
      </c>
    </row>
    <row r="2" spans="1:9" x14ac:dyDescent="0.25">
      <c r="E2" s="72"/>
      <c r="F2" s="72"/>
      <c r="G2" s="72" t="s">
        <v>287</v>
      </c>
      <c r="H2" s="72" t="s">
        <v>286</v>
      </c>
      <c r="I2" s="72" t="s">
        <v>285</v>
      </c>
    </row>
    <row r="3" spans="1:9" x14ac:dyDescent="0.25">
      <c r="A3" s="71" t="s">
        <v>321</v>
      </c>
      <c r="B3" s="77"/>
      <c r="C3" s="77">
        <v>0.75</v>
      </c>
      <c r="E3" s="71" t="s">
        <v>320</v>
      </c>
      <c r="G3" s="59">
        <v>11000000</v>
      </c>
      <c r="H3" s="59">
        <v>12500000</v>
      </c>
      <c r="I3" s="59">
        <v>15000000</v>
      </c>
    </row>
    <row r="4" spans="1:9" x14ac:dyDescent="0.25">
      <c r="A4" s="71" t="s">
        <v>319</v>
      </c>
      <c r="C4" s="77">
        <v>0.5</v>
      </c>
      <c r="E4" s="71" t="s">
        <v>318</v>
      </c>
      <c r="G4" s="59">
        <v>3500000</v>
      </c>
      <c r="H4" s="59">
        <v>3800000</v>
      </c>
      <c r="I4" s="59">
        <v>5500000</v>
      </c>
    </row>
    <row r="5" spans="1:9" x14ac:dyDescent="0.25">
      <c r="A5" s="71" t="s">
        <v>317</v>
      </c>
      <c r="C5" s="77">
        <f>1-C4</f>
        <v>0.5</v>
      </c>
      <c r="G5" s="59"/>
      <c r="H5" s="59"/>
      <c r="I5" s="59"/>
    </row>
    <row r="6" spans="1:9" x14ac:dyDescent="0.25">
      <c r="A6" s="71" t="s">
        <v>316</v>
      </c>
      <c r="C6" s="77">
        <v>0.8</v>
      </c>
    </row>
    <row r="7" spans="1:9" x14ac:dyDescent="0.25">
      <c r="A7" s="71" t="s">
        <v>315</v>
      </c>
      <c r="C7" s="77">
        <f>1-C6</f>
        <v>0.19999999999999996</v>
      </c>
    </row>
    <row r="8" spans="1:9" x14ac:dyDescent="0.25">
      <c r="A8" s="71" t="s">
        <v>314</v>
      </c>
      <c r="E8" s="71" t="s">
        <v>313</v>
      </c>
      <c r="F8" s="59">
        <v>16000000</v>
      </c>
      <c r="G8" s="71" t="s">
        <v>312</v>
      </c>
      <c r="H8" s="59">
        <v>10000000</v>
      </c>
    </row>
    <row r="9" spans="1:9" x14ac:dyDescent="0.25">
      <c r="A9" s="71" t="s">
        <v>311</v>
      </c>
      <c r="C9" s="59">
        <v>1600000</v>
      </c>
      <c r="E9" s="71" t="s">
        <v>310</v>
      </c>
      <c r="F9" s="59">
        <v>1200000</v>
      </c>
      <c r="G9" s="71" t="s">
        <v>309</v>
      </c>
      <c r="H9" s="59">
        <v>1500000</v>
      </c>
    </row>
    <row r="10" spans="1:9" x14ac:dyDescent="0.25">
      <c r="C10" s="59"/>
      <c r="E10" s="71" t="s">
        <v>203</v>
      </c>
      <c r="F10" s="59">
        <v>5200000</v>
      </c>
      <c r="G10" s="71" t="s">
        <v>308</v>
      </c>
      <c r="H10" s="59">
        <v>7200000</v>
      </c>
    </row>
    <row r="11" spans="1:9" x14ac:dyDescent="0.25">
      <c r="A11" s="71" t="s">
        <v>307</v>
      </c>
      <c r="C11" s="59">
        <v>1800000</v>
      </c>
      <c r="E11" s="72" t="s">
        <v>268</v>
      </c>
      <c r="F11" s="60">
        <v>1600000</v>
      </c>
      <c r="G11" s="72" t="s">
        <v>306</v>
      </c>
      <c r="H11" s="60">
        <v>5300000</v>
      </c>
    </row>
    <row r="12" spans="1:9" x14ac:dyDescent="0.25">
      <c r="A12" s="71" t="s">
        <v>305</v>
      </c>
      <c r="C12" s="59">
        <v>300000</v>
      </c>
      <c r="E12" s="78" t="s">
        <v>304</v>
      </c>
      <c r="F12" s="78">
        <f>SUM(F8:F11)</f>
        <v>24000000</v>
      </c>
      <c r="G12" s="78" t="s">
        <v>303</v>
      </c>
      <c r="H12" s="78">
        <f>SUM(H8:H11)</f>
        <v>24000000</v>
      </c>
    </row>
    <row r="13" spans="1:9" x14ac:dyDescent="0.25">
      <c r="A13" s="71" t="s">
        <v>302</v>
      </c>
      <c r="C13" s="59"/>
      <c r="E13" s="78"/>
      <c r="F13" s="74"/>
      <c r="G13" s="78"/>
      <c r="H13" s="74"/>
    </row>
    <row r="14" spans="1:9" x14ac:dyDescent="0.25">
      <c r="A14" s="71" t="s">
        <v>301</v>
      </c>
      <c r="C14" s="59">
        <v>2000000</v>
      </c>
      <c r="E14" s="78"/>
      <c r="F14" s="78"/>
      <c r="G14" s="78"/>
      <c r="H14" s="78"/>
    </row>
    <row r="17" spans="1:7" x14ac:dyDescent="0.25">
      <c r="A17" s="71" t="s">
        <v>300</v>
      </c>
    </row>
    <row r="18" spans="1:7" x14ac:dyDescent="0.25">
      <c r="A18" s="72" t="s">
        <v>299</v>
      </c>
      <c r="B18" s="73" t="s">
        <v>287</v>
      </c>
      <c r="C18" s="73" t="s">
        <v>286</v>
      </c>
      <c r="D18" s="73" t="s">
        <v>285</v>
      </c>
      <c r="E18" s="73" t="s">
        <v>55</v>
      </c>
    </row>
    <row r="19" spans="1:7" x14ac:dyDescent="0.25">
      <c r="A19" s="71" t="s">
        <v>298</v>
      </c>
      <c r="B19" s="59">
        <f>F10</f>
        <v>5200000</v>
      </c>
      <c r="C19" s="59"/>
      <c r="D19" s="59"/>
      <c r="E19" s="59"/>
    </row>
    <row r="20" spans="1:7" x14ac:dyDescent="0.25">
      <c r="A20" s="71" t="s">
        <v>297</v>
      </c>
      <c r="B20" s="59">
        <f>C5*G3</f>
        <v>5500000</v>
      </c>
      <c r="C20" s="59">
        <f>C4*G3</f>
        <v>5500000</v>
      </c>
      <c r="D20" s="59"/>
      <c r="E20" s="59"/>
    </row>
    <row r="21" spans="1:7" x14ac:dyDescent="0.25">
      <c r="A21" s="71" t="s">
        <v>296</v>
      </c>
      <c r="B21" s="59"/>
      <c r="C21" s="59">
        <f>C5*H3</f>
        <v>6250000</v>
      </c>
      <c r="D21" s="59">
        <f>C4*H3</f>
        <v>6250000</v>
      </c>
      <c r="E21" s="59"/>
    </row>
    <row r="22" spans="1:7" x14ac:dyDescent="0.25">
      <c r="A22" s="72" t="s">
        <v>295</v>
      </c>
      <c r="B22" s="60"/>
      <c r="C22" s="60"/>
      <c r="D22" s="60">
        <f>C5*I3</f>
        <v>7500000</v>
      </c>
      <c r="E22" s="60">
        <f>C4*I3</f>
        <v>7500000</v>
      </c>
    </row>
    <row r="23" spans="1:7" x14ac:dyDescent="0.25">
      <c r="B23" s="59">
        <f>SUM(B19:B22)</f>
        <v>10700000</v>
      </c>
      <c r="C23" s="59">
        <f>SUM(C19:C22)</f>
        <v>11750000</v>
      </c>
      <c r="D23" s="59">
        <f>SUM(D19:D22)</f>
        <v>13750000</v>
      </c>
      <c r="E23" s="59">
        <f>SUM(E19:E22)</f>
        <v>7500000</v>
      </c>
    </row>
    <row r="24" spans="1:7" x14ac:dyDescent="0.25">
      <c r="B24" s="59"/>
      <c r="C24" s="59"/>
      <c r="D24" s="59"/>
      <c r="E24" s="59"/>
      <c r="G24" s="77"/>
    </row>
    <row r="25" spans="1:7" x14ac:dyDescent="0.25">
      <c r="A25" s="71" t="s">
        <v>294</v>
      </c>
      <c r="B25" s="77">
        <f>1/(1+C3)</f>
        <v>0.5714285714285714</v>
      </c>
      <c r="C25" s="59" t="s">
        <v>293</v>
      </c>
      <c r="D25" s="59"/>
      <c r="E25" s="59"/>
    </row>
    <row r="27" spans="1:7" x14ac:dyDescent="0.25">
      <c r="A27" s="72" t="s">
        <v>292</v>
      </c>
      <c r="B27" s="73" t="s">
        <v>287</v>
      </c>
      <c r="C27" s="73" t="s">
        <v>286</v>
      </c>
      <c r="D27" s="73" t="s">
        <v>285</v>
      </c>
      <c r="E27" s="73" t="s">
        <v>55</v>
      </c>
    </row>
    <row r="28" spans="1:7" x14ac:dyDescent="0.25">
      <c r="A28" s="71" t="s">
        <v>291</v>
      </c>
      <c r="B28" s="59">
        <f>H11-C14</f>
        <v>3300000</v>
      </c>
      <c r="C28" s="59"/>
      <c r="D28" s="59"/>
      <c r="E28" s="59"/>
    </row>
    <row r="29" spans="1:7" x14ac:dyDescent="0.25">
      <c r="A29" s="71" t="s">
        <v>290</v>
      </c>
      <c r="B29" s="59">
        <f>$B$25*$G$3*C7</f>
        <v>1257142.8571428568</v>
      </c>
      <c r="C29" s="59">
        <f>$B$25*$G$3*C6</f>
        <v>5028571.4285714282</v>
      </c>
      <c r="D29" s="59"/>
      <c r="E29" s="59"/>
    </row>
    <row r="30" spans="1:7" x14ac:dyDescent="0.25">
      <c r="A30" s="71" t="s">
        <v>289</v>
      </c>
      <c r="B30" s="59"/>
      <c r="C30" s="59">
        <f>$B$25*$H$3*C7</f>
        <v>1428571.4285714282</v>
      </c>
      <c r="D30" s="59">
        <f>$B$25*$H$3*C6</f>
        <v>5714285.7142857146</v>
      </c>
      <c r="E30" s="59"/>
    </row>
    <row r="31" spans="1:7" x14ac:dyDescent="0.25">
      <c r="A31" s="72" t="s">
        <v>288</v>
      </c>
      <c r="B31" s="60"/>
      <c r="C31" s="60"/>
      <c r="D31" s="60">
        <f>$B$25*$I$3*C7</f>
        <v>1714285.7142857139</v>
      </c>
      <c r="E31" s="60">
        <f>$B$25*$I$3*C6</f>
        <v>6857142.8571428573</v>
      </c>
    </row>
    <row r="32" spans="1:7" x14ac:dyDescent="0.25">
      <c r="B32" s="59">
        <f>SUM(B28:B31)</f>
        <v>4557142.8571428563</v>
      </c>
      <c r="C32" s="59">
        <f>SUM(C28:C31)</f>
        <v>6457142.8571428563</v>
      </c>
      <c r="D32" s="59">
        <f>SUM(D28:D31)</f>
        <v>7428571.4285714282</v>
      </c>
      <c r="E32" s="59">
        <f>SUM(E28:E31)</f>
        <v>6857142.8571428573</v>
      </c>
    </row>
    <row r="35" spans="1:5" x14ac:dyDescent="0.25">
      <c r="A35" s="72" t="s">
        <v>198</v>
      </c>
      <c r="B35" s="73" t="s">
        <v>287</v>
      </c>
      <c r="C35" s="73" t="s">
        <v>286</v>
      </c>
      <c r="D35" s="73" t="s">
        <v>285</v>
      </c>
      <c r="E35" s="73" t="s">
        <v>274</v>
      </c>
    </row>
    <row r="36" spans="1:5" x14ac:dyDescent="0.25">
      <c r="A36" s="71" t="str">
        <f>A18</f>
        <v xml:space="preserve"> Innbetaling fra kunder</v>
      </c>
      <c r="B36" s="59">
        <f>B23</f>
        <v>10700000</v>
      </c>
      <c r="C36" s="59">
        <f>C23</f>
        <v>11750000</v>
      </c>
      <c r="D36" s="59">
        <f>D23</f>
        <v>13750000</v>
      </c>
      <c r="E36" s="59">
        <f>SUM(B36:D36)</f>
        <v>36200000</v>
      </c>
    </row>
    <row r="37" spans="1:5" x14ac:dyDescent="0.25">
      <c r="A37" s="71" t="str">
        <f>A27</f>
        <v xml:space="preserve"> Utbetaling til leverandører</v>
      </c>
      <c r="B37" s="59">
        <f>-B32</f>
        <v>-4557142.8571428563</v>
      </c>
      <c r="C37" s="59">
        <f>-C32</f>
        <v>-6457142.8571428563</v>
      </c>
      <c r="D37" s="59">
        <f>-D32</f>
        <v>-7428571.4285714282</v>
      </c>
      <c r="E37" s="59">
        <f>SUM(B37:D37)</f>
        <v>-18442857.142857142</v>
      </c>
    </row>
    <row r="38" spans="1:5" x14ac:dyDescent="0.25">
      <c r="A38" s="71" t="s">
        <v>284</v>
      </c>
      <c r="B38" s="59">
        <f>-G4</f>
        <v>-3500000</v>
      </c>
      <c r="C38" s="59">
        <f>-H4</f>
        <v>-3800000</v>
      </c>
      <c r="D38" s="59">
        <f>-I4</f>
        <v>-5500000</v>
      </c>
      <c r="E38" s="59">
        <f>SUM(B38:D38)</f>
        <v>-12800000</v>
      </c>
    </row>
    <row r="39" spans="1:5" x14ac:dyDescent="0.25">
      <c r="A39" s="76" t="s">
        <v>283</v>
      </c>
      <c r="B39" s="75">
        <f>SUM(B36:B38)</f>
        <v>2642857.1428571437</v>
      </c>
      <c r="C39" s="75">
        <f>SUM(C36:C38)</f>
        <v>1492857.1428571437</v>
      </c>
      <c r="D39" s="75">
        <f>SUM(D36:D38)</f>
        <v>821428.57142857183</v>
      </c>
      <c r="E39" s="75">
        <f>SUM(E36:E38)</f>
        <v>4957142.8571428582</v>
      </c>
    </row>
    <row r="40" spans="1:5" x14ac:dyDescent="0.25">
      <c r="A40" s="71" t="s">
        <v>282</v>
      </c>
      <c r="B40" s="59"/>
      <c r="C40" s="59"/>
      <c r="D40" s="59">
        <f>-C11</f>
        <v>-1800000</v>
      </c>
      <c r="E40" s="59">
        <f>SUM(B40:D40)</f>
        <v>-1800000</v>
      </c>
    </row>
    <row r="41" spans="1:5" x14ac:dyDescent="0.25">
      <c r="A41" s="71" t="s">
        <v>281</v>
      </c>
      <c r="B41" s="59"/>
      <c r="C41" s="59"/>
      <c r="D41" s="59">
        <f>-C12</f>
        <v>-300000</v>
      </c>
      <c r="E41" s="59">
        <f>SUM(B41:D41)</f>
        <v>-300000</v>
      </c>
    </row>
    <row r="42" spans="1:5" x14ac:dyDescent="0.25">
      <c r="A42" s="71" t="s">
        <v>280</v>
      </c>
      <c r="B42" s="59">
        <f>-C14</f>
        <v>-2000000</v>
      </c>
      <c r="C42" s="59"/>
      <c r="D42" s="59"/>
      <c r="E42" s="59">
        <f>SUM(B42:D42)</f>
        <v>-2000000</v>
      </c>
    </row>
    <row r="43" spans="1:5" x14ac:dyDescent="0.25">
      <c r="A43" s="76" t="s">
        <v>279</v>
      </c>
      <c r="B43" s="75">
        <f>SUM(B40:B42)</f>
        <v>-2000000</v>
      </c>
      <c r="C43" s="75">
        <f>SUM(C40:C42)</f>
        <v>0</v>
      </c>
      <c r="D43" s="75">
        <f>SUM(D40:D42)</f>
        <v>-2100000</v>
      </c>
      <c r="E43" s="75">
        <f>SUM(E40:E42)</f>
        <v>-4100000</v>
      </c>
    </row>
    <row r="44" spans="1:5" x14ac:dyDescent="0.25">
      <c r="A44" s="76" t="s">
        <v>278</v>
      </c>
      <c r="B44" s="75">
        <f>B39+B43</f>
        <v>642857.14285714366</v>
      </c>
      <c r="C44" s="75">
        <f>C39+C43</f>
        <v>1492857.1428571437</v>
      </c>
      <c r="D44" s="75">
        <f>D39+D43</f>
        <v>-1278571.4285714282</v>
      </c>
      <c r="E44" s="75">
        <f>SUM(B44:D44)</f>
        <v>857142.85714285914</v>
      </c>
    </row>
    <row r="45" spans="1:5" x14ac:dyDescent="0.25">
      <c r="A45" s="71" t="s">
        <v>277</v>
      </c>
      <c r="B45" s="59">
        <f>F11</f>
        <v>1600000</v>
      </c>
      <c r="C45" s="59">
        <f>B46</f>
        <v>2242857.1428571437</v>
      </c>
      <c r="D45" s="59">
        <f>C46</f>
        <v>3735714.2857142873</v>
      </c>
      <c r="E45" s="74"/>
    </row>
    <row r="46" spans="1:5" x14ac:dyDescent="0.25">
      <c r="A46" s="71" t="s">
        <v>276</v>
      </c>
      <c r="B46" s="59">
        <f>B45+B44</f>
        <v>2242857.1428571437</v>
      </c>
      <c r="C46" s="59">
        <f>C45+C44</f>
        <v>3735714.2857142873</v>
      </c>
      <c r="D46" s="59">
        <f>D45+D44</f>
        <v>2457142.8571428591</v>
      </c>
      <c r="E46" s="74"/>
    </row>
    <row r="47" spans="1:5" x14ac:dyDescent="0.25">
      <c r="B47" s="59"/>
      <c r="C47" s="59"/>
      <c r="D47" s="59"/>
      <c r="E47" s="59"/>
    </row>
    <row r="49" spans="1:4" x14ac:dyDescent="0.25">
      <c r="A49" s="72" t="s">
        <v>275</v>
      </c>
      <c r="B49" s="73" t="s">
        <v>274</v>
      </c>
    </row>
    <row r="50" spans="1:4" x14ac:dyDescent="0.25">
      <c r="A50" s="71" t="s">
        <v>273</v>
      </c>
      <c r="B50" s="59">
        <f>SUM(G3:I3)</f>
        <v>38500000</v>
      </c>
    </row>
    <row r="51" spans="1:4" x14ac:dyDescent="0.25">
      <c r="A51" s="71" t="s">
        <v>86</v>
      </c>
      <c r="B51" s="59">
        <f>B25*B50</f>
        <v>22000000</v>
      </c>
    </row>
    <row r="52" spans="1:4" x14ac:dyDescent="0.25">
      <c r="A52" s="71" t="s">
        <v>272</v>
      </c>
      <c r="B52" s="59">
        <f>SUM(G4:I4)</f>
        <v>12800000</v>
      </c>
    </row>
    <row r="53" spans="1:4" x14ac:dyDescent="0.25">
      <c r="A53" s="71" t="s">
        <v>194</v>
      </c>
      <c r="B53" s="59">
        <f>C9</f>
        <v>1600000</v>
      </c>
    </row>
    <row r="54" spans="1:4" x14ac:dyDescent="0.25">
      <c r="A54" s="72" t="s">
        <v>271</v>
      </c>
      <c r="B54" s="60">
        <f>C12</f>
        <v>300000</v>
      </c>
    </row>
    <row r="55" spans="1:4" x14ac:dyDescent="0.25">
      <c r="A55" s="71" t="s">
        <v>270</v>
      </c>
      <c r="B55" s="59">
        <f>B50-SUM(B51:B54)</f>
        <v>1800000</v>
      </c>
    </row>
    <row r="56" spans="1:4" x14ac:dyDescent="0.25">
      <c r="B56" s="59"/>
    </row>
    <row r="57" spans="1:4" x14ac:dyDescent="0.25">
      <c r="B57" s="59"/>
    </row>
    <row r="58" spans="1:4" x14ac:dyDescent="0.25">
      <c r="A58" s="72" t="s">
        <v>269</v>
      </c>
      <c r="B58" s="60"/>
      <c r="C58" s="72"/>
      <c r="D58" s="72"/>
    </row>
    <row r="59" spans="1:4" x14ac:dyDescent="0.25">
      <c r="A59" s="71" t="str">
        <f>E8</f>
        <v>Anleggsmidler</v>
      </c>
      <c r="B59" s="59">
        <f>F8-B53</f>
        <v>14400000</v>
      </c>
      <c r="C59" s="71" t="str">
        <f>G8</f>
        <v xml:space="preserve"> Aksjekapital</v>
      </c>
      <c r="D59" s="59">
        <f>H8</f>
        <v>10000000</v>
      </c>
    </row>
    <row r="60" spans="1:4" x14ac:dyDescent="0.25">
      <c r="A60" s="71" t="str">
        <f>E9</f>
        <v>Varebeholdning</v>
      </c>
      <c r="B60" s="59">
        <f>F9</f>
        <v>1200000</v>
      </c>
      <c r="C60" s="71" t="str">
        <f>G9</f>
        <v xml:space="preserve"> Opptjent EK</v>
      </c>
      <c r="D60" s="59">
        <f>H9+B55</f>
        <v>3300000</v>
      </c>
    </row>
    <row r="61" spans="1:4" x14ac:dyDescent="0.25">
      <c r="A61" s="71" t="str">
        <f>E10</f>
        <v>Kundefordringer</v>
      </c>
      <c r="B61" s="59">
        <f>E22</f>
        <v>7500000</v>
      </c>
      <c r="C61" s="71" t="str">
        <f>G10</f>
        <v xml:space="preserve"> Pantelån</v>
      </c>
      <c r="D61" s="59">
        <f>H10-C11</f>
        <v>5400000</v>
      </c>
    </row>
    <row r="62" spans="1:4" x14ac:dyDescent="0.25">
      <c r="A62" s="72" t="s">
        <v>268</v>
      </c>
      <c r="B62" s="60">
        <f>D46</f>
        <v>2457142.8571428591</v>
      </c>
      <c r="C62" s="72" t="str">
        <f>G11</f>
        <v xml:space="preserve"> Leverandørgjeld</v>
      </c>
      <c r="D62" s="60">
        <f>E32</f>
        <v>6857142.8571428573</v>
      </c>
    </row>
    <row r="63" spans="1:4" x14ac:dyDescent="0.25">
      <c r="B63" s="59">
        <f>SUM(B59:B62)</f>
        <v>25557142.857142858</v>
      </c>
      <c r="C63" s="59"/>
      <c r="D63" s="59">
        <f>SUM(D59:D62)</f>
        <v>25557142.857142858</v>
      </c>
    </row>
  </sheetData>
  <pageMargins left="0.7" right="0.7" top="0.75" bottom="0.75" header="0.3" footer="0.3"/>
  <pageSetup paperSize="9" orientation="portrait" r:id="rId1"/>
  <ignoredErrors>
    <ignoredError sqref="B59:B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1"/>
  <sheetViews>
    <sheetView workbookViewId="0">
      <selection activeCell="A2" sqref="A2"/>
    </sheetView>
  </sheetViews>
  <sheetFormatPr baseColWidth="10" defaultRowHeight="12.75" x14ac:dyDescent="0.2"/>
  <cols>
    <col min="1" max="1" width="24.85546875" style="2" customWidth="1"/>
    <col min="2" max="2" width="8.7109375" style="2" customWidth="1"/>
    <col min="3" max="3" width="9.5703125" style="2" customWidth="1"/>
    <col min="4" max="4" width="10.140625" style="2" customWidth="1"/>
    <col min="5" max="5" width="16.5703125" style="2" customWidth="1"/>
    <col min="6" max="6" width="10.5703125" style="2" customWidth="1"/>
    <col min="7" max="7" width="9.85546875" style="2" customWidth="1"/>
    <col min="8" max="8" width="6" style="2" customWidth="1"/>
    <col min="9" max="256" width="11.42578125" style="2"/>
    <col min="257" max="257" width="24.85546875" style="2" customWidth="1"/>
    <col min="258" max="258" width="8.7109375" style="2" customWidth="1"/>
    <col min="259" max="259" width="9.5703125" style="2" customWidth="1"/>
    <col min="260" max="260" width="10.140625" style="2" customWidth="1"/>
    <col min="261" max="261" width="16.5703125" style="2" customWidth="1"/>
    <col min="262" max="262" width="10.5703125" style="2" customWidth="1"/>
    <col min="263" max="263" width="9.85546875" style="2" customWidth="1"/>
    <col min="264" max="264" width="6" style="2" customWidth="1"/>
    <col min="265" max="512" width="11.42578125" style="2"/>
    <col min="513" max="513" width="24.85546875" style="2" customWidth="1"/>
    <col min="514" max="514" width="8.7109375" style="2" customWidth="1"/>
    <col min="515" max="515" width="9.5703125" style="2" customWidth="1"/>
    <col min="516" max="516" width="10.140625" style="2" customWidth="1"/>
    <col min="517" max="517" width="16.5703125" style="2" customWidth="1"/>
    <col min="518" max="518" width="10.5703125" style="2" customWidth="1"/>
    <col min="519" max="519" width="9.85546875" style="2" customWidth="1"/>
    <col min="520" max="520" width="6" style="2" customWidth="1"/>
    <col min="521" max="768" width="11.42578125" style="2"/>
    <col min="769" max="769" width="24.85546875" style="2" customWidth="1"/>
    <col min="770" max="770" width="8.7109375" style="2" customWidth="1"/>
    <col min="771" max="771" width="9.5703125" style="2" customWidth="1"/>
    <col min="772" max="772" width="10.140625" style="2" customWidth="1"/>
    <col min="773" max="773" width="16.5703125" style="2" customWidth="1"/>
    <col min="774" max="774" width="10.5703125" style="2" customWidth="1"/>
    <col min="775" max="775" width="9.85546875" style="2" customWidth="1"/>
    <col min="776" max="776" width="6" style="2" customWidth="1"/>
    <col min="777" max="1024" width="11.42578125" style="2"/>
    <col min="1025" max="1025" width="24.85546875" style="2" customWidth="1"/>
    <col min="1026" max="1026" width="8.7109375" style="2" customWidth="1"/>
    <col min="1027" max="1027" width="9.5703125" style="2" customWidth="1"/>
    <col min="1028" max="1028" width="10.140625" style="2" customWidth="1"/>
    <col min="1029" max="1029" width="16.5703125" style="2" customWidth="1"/>
    <col min="1030" max="1030" width="10.5703125" style="2" customWidth="1"/>
    <col min="1031" max="1031" width="9.85546875" style="2" customWidth="1"/>
    <col min="1032" max="1032" width="6" style="2" customWidth="1"/>
    <col min="1033" max="1280" width="11.42578125" style="2"/>
    <col min="1281" max="1281" width="24.85546875" style="2" customWidth="1"/>
    <col min="1282" max="1282" width="8.7109375" style="2" customWidth="1"/>
    <col min="1283" max="1283" width="9.5703125" style="2" customWidth="1"/>
    <col min="1284" max="1284" width="10.140625" style="2" customWidth="1"/>
    <col min="1285" max="1285" width="16.5703125" style="2" customWidth="1"/>
    <col min="1286" max="1286" width="10.5703125" style="2" customWidth="1"/>
    <col min="1287" max="1287" width="9.85546875" style="2" customWidth="1"/>
    <col min="1288" max="1288" width="6" style="2" customWidth="1"/>
    <col min="1289" max="1536" width="11.42578125" style="2"/>
    <col min="1537" max="1537" width="24.85546875" style="2" customWidth="1"/>
    <col min="1538" max="1538" width="8.7109375" style="2" customWidth="1"/>
    <col min="1539" max="1539" width="9.5703125" style="2" customWidth="1"/>
    <col min="1540" max="1540" width="10.140625" style="2" customWidth="1"/>
    <col min="1541" max="1541" width="16.5703125" style="2" customWidth="1"/>
    <col min="1542" max="1542" width="10.5703125" style="2" customWidth="1"/>
    <col min="1543" max="1543" width="9.85546875" style="2" customWidth="1"/>
    <col min="1544" max="1544" width="6" style="2" customWidth="1"/>
    <col min="1545" max="1792" width="11.42578125" style="2"/>
    <col min="1793" max="1793" width="24.85546875" style="2" customWidth="1"/>
    <col min="1794" max="1794" width="8.7109375" style="2" customWidth="1"/>
    <col min="1795" max="1795" width="9.5703125" style="2" customWidth="1"/>
    <col min="1796" max="1796" width="10.140625" style="2" customWidth="1"/>
    <col min="1797" max="1797" width="16.5703125" style="2" customWidth="1"/>
    <col min="1798" max="1798" width="10.5703125" style="2" customWidth="1"/>
    <col min="1799" max="1799" width="9.85546875" style="2" customWidth="1"/>
    <col min="1800" max="1800" width="6" style="2" customWidth="1"/>
    <col min="1801" max="2048" width="11.42578125" style="2"/>
    <col min="2049" max="2049" width="24.85546875" style="2" customWidth="1"/>
    <col min="2050" max="2050" width="8.7109375" style="2" customWidth="1"/>
    <col min="2051" max="2051" width="9.5703125" style="2" customWidth="1"/>
    <col min="2052" max="2052" width="10.140625" style="2" customWidth="1"/>
    <col min="2053" max="2053" width="16.5703125" style="2" customWidth="1"/>
    <col min="2054" max="2054" width="10.5703125" style="2" customWidth="1"/>
    <col min="2055" max="2055" width="9.85546875" style="2" customWidth="1"/>
    <col min="2056" max="2056" width="6" style="2" customWidth="1"/>
    <col min="2057" max="2304" width="11.42578125" style="2"/>
    <col min="2305" max="2305" width="24.85546875" style="2" customWidth="1"/>
    <col min="2306" max="2306" width="8.7109375" style="2" customWidth="1"/>
    <col min="2307" max="2307" width="9.5703125" style="2" customWidth="1"/>
    <col min="2308" max="2308" width="10.140625" style="2" customWidth="1"/>
    <col min="2309" max="2309" width="16.5703125" style="2" customWidth="1"/>
    <col min="2310" max="2310" width="10.5703125" style="2" customWidth="1"/>
    <col min="2311" max="2311" width="9.85546875" style="2" customWidth="1"/>
    <col min="2312" max="2312" width="6" style="2" customWidth="1"/>
    <col min="2313" max="2560" width="11.42578125" style="2"/>
    <col min="2561" max="2561" width="24.85546875" style="2" customWidth="1"/>
    <col min="2562" max="2562" width="8.7109375" style="2" customWidth="1"/>
    <col min="2563" max="2563" width="9.5703125" style="2" customWidth="1"/>
    <col min="2564" max="2564" width="10.140625" style="2" customWidth="1"/>
    <col min="2565" max="2565" width="16.5703125" style="2" customWidth="1"/>
    <col min="2566" max="2566" width="10.5703125" style="2" customWidth="1"/>
    <col min="2567" max="2567" width="9.85546875" style="2" customWidth="1"/>
    <col min="2568" max="2568" width="6" style="2" customWidth="1"/>
    <col min="2569" max="2816" width="11.42578125" style="2"/>
    <col min="2817" max="2817" width="24.85546875" style="2" customWidth="1"/>
    <col min="2818" max="2818" width="8.7109375" style="2" customWidth="1"/>
    <col min="2819" max="2819" width="9.5703125" style="2" customWidth="1"/>
    <col min="2820" max="2820" width="10.140625" style="2" customWidth="1"/>
    <col min="2821" max="2821" width="16.5703125" style="2" customWidth="1"/>
    <col min="2822" max="2822" width="10.5703125" style="2" customWidth="1"/>
    <col min="2823" max="2823" width="9.85546875" style="2" customWidth="1"/>
    <col min="2824" max="2824" width="6" style="2" customWidth="1"/>
    <col min="2825" max="3072" width="11.42578125" style="2"/>
    <col min="3073" max="3073" width="24.85546875" style="2" customWidth="1"/>
    <col min="3074" max="3074" width="8.7109375" style="2" customWidth="1"/>
    <col min="3075" max="3075" width="9.5703125" style="2" customWidth="1"/>
    <col min="3076" max="3076" width="10.140625" style="2" customWidth="1"/>
    <col min="3077" max="3077" width="16.5703125" style="2" customWidth="1"/>
    <col min="3078" max="3078" width="10.5703125" style="2" customWidth="1"/>
    <col min="3079" max="3079" width="9.85546875" style="2" customWidth="1"/>
    <col min="3080" max="3080" width="6" style="2" customWidth="1"/>
    <col min="3081" max="3328" width="11.42578125" style="2"/>
    <col min="3329" max="3329" width="24.85546875" style="2" customWidth="1"/>
    <col min="3330" max="3330" width="8.7109375" style="2" customWidth="1"/>
    <col min="3331" max="3331" width="9.5703125" style="2" customWidth="1"/>
    <col min="3332" max="3332" width="10.140625" style="2" customWidth="1"/>
    <col min="3333" max="3333" width="16.5703125" style="2" customWidth="1"/>
    <col min="3334" max="3334" width="10.5703125" style="2" customWidth="1"/>
    <col min="3335" max="3335" width="9.85546875" style="2" customWidth="1"/>
    <col min="3336" max="3336" width="6" style="2" customWidth="1"/>
    <col min="3337" max="3584" width="11.42578125" style="2"/>
    <col min="3585" max="3585" width="24.85546875" style="2" customWidth="1"/>
    <col min="3586" max="3586" width="8.7109375" style="2" customWidth="1"/>
    <col min="3587" max="3587" width="9.5703125" style="2" customWidth="1"/>
    <col min="3588" max="3588" width="10.140625" style="2" customWidth="1"/>
    <col min="3589" max="3589" width="16.5703125" style="2" customWidth="1"/>
    <col min="3590" max="3590" width="10.5703125" style="2" customWidth="1"/>
    <col min="3591" max="3591" width="9.85546875" style="2" customWidth="1"/>
    <col min="3592" max="3592" width="6" style="2" customWidth="1"/>
    <col min="3593" max="3840" width="11.42578125" style="2"/>
    <col min="3841" max="3841" width="24.85546875" style="2" customWidth="1"/>
    <col min="3842" max="3842" width="8.7109375" style="2" customWidth="1"/>
    <col min="3843" max="3843" width="9.5703125" style="2" customWidth="1"/>
    <col min="3844" max="3844" width="10.140625" style="2" customWidth="1"/>
    <col min="3845" max="3845" width="16.5703125" style="2" customWidth="1"/>
    <col min="3846" max="3846" width="10.5703125" style="2" customWidth="1"/>
    <col min="3847" max="3847" width="9.85546875" style="2" customWidth="1"/>
    <col min="3848" max="3848" width="6" style="2" customWidth="1"/>
    <col min="3849" max="4096" width="11.42578125" style="2"/>
    <col min="4097" max="4097" width="24.85546875" style="2" customWidth="1"/>
    <col min="4098" max="4098" width="8.7109375" style="2" customWidth="1"/>
    <col min="4099" max="4099" width="9.5703125" style="2" customWidth="1"/>
    <col min="4100" max="4100" width="10.140625" style="2" customWidth="1"/>
    <col min="4101" max="4101" width="16.5703125" style="2" customWidth="1"/>
    <col min="4102" max="4102" width="10.5703125" style="2" customWidth="1"/>
    <col min="4103" max="4103" width="9.85546875" style="2" customWidth="1"/>
    <col min="4104" max="4104" width="6" style="2" customWidth="1"/>
    <col min="4105" max="4352" width="11.42578125" style="2"/>
    <col min="4353" max="4353" width="24.85546875" style="2" customWidth="1"/>
    <col min="4354" max="4354" width="8.7109375" style="2" customWidth="1"/>
    <col min="4355" max="4355" width="9.5703125" style="2" customWidth="1"/>
    <col min="4356" max="4356" width="10.140625" style="2" customWidth="1"/>
    <col min="4357" max="4357" width="16.5703125" style="2" customWidth="1"/>
    <col min="4358" max="4358" width="10.5703125" style="2" customWidth="1"/>
    <col min="4359" max="4359" width="9.85546875" style="2" customWidth="1"/>
    <col min="4360" max="4360" width="6" style="2" customWidth="1"/>
    <col min="4361" max="4608" width="11.42578125" style="2"/>
    <col min="4609" max="4609" width="24.85546875" style="2" customWidth="1"/>
    <col min="4610" max="4610" width="8.7109375" style="2" customWidth="1"/>
    <col min="4611" max="4611" width="9.5703125" style="2" customWidth="1"/>
    <col min="4612" max="4612" width="10.140625" style="2" customWidth="1"/>
    <col min="4613" max="4613" width="16.5703125" style="2" customWidth="1"/>
    <col min="4614" max="4614" width="10.5703125" style="2" customWidth="1"/>
    <col min="4615" max="4615" width="9.85546875" style="2" customWidth="1"/>
    <col min="4616" max="4616" width="6" style="2" customWidth="1"/>
    <col min="4617" max="4864" width="11.42578125" style="2"/>
    <col min="4865" max="4865" width="24.85546875" style="2" customWidth="1"/>
    <col min="4866" max="4866" width="8.7109375" style="2" customWidth="1"/>
    <col min="4867" max="4867" width="9.5703125" style="2" customWidth="1"/>
    <col min="4868" max="4868" width="10.140625" style="2" customWidth="1"/>
    <col min="4869" max="4869" width="16.5703125" style="2" customWidth="1"/>
    <col min="4870" max="4870" width="10.5703125" style="2" customWidth="1"/>
    <col min="4871" max="4871" width="9.85546875" style="2" customWidth="1"/>
    <col min="4872" max="4872" width="6" style="2" customWidth="1"/>
    <col min="4873" max="5120" width="11.42578125" style="2"/>
    <col min="5121" max="5121" width="24.85546875" style="2" customWidth="1"/>
    <col min="5122" max="5122" width="8.7109375" style="2" customWidth="1"/>
    <col min="5123" max="5123" width="9.5703125" style="2" customWidth="1"/>
    <col min="5124" max="5124" width="10.140625" style="2" customWidth="1"/>
    <col min="5125" max="5125" width="16.5703125" style="2" customWidth="1"/>
    <col min="5126" max="5126" width="10.5703125" style="2" customWidth="1"/>
    <col min="5127" max="5127" width="9.85546875" style="2" customWidth="1"/>
    <col min="5128" max="5128" width="6" style="2" customWidth="1"/>
    <col min="5129" max="5376" width="11.42578125" style="2"/>
    <col min="5377" max="5377" width="24.85546875" style="2" customWidth="1"/>
    <col min="5378" max="5378" width="8.7109375" style="2" customWidth="1"/>
    <col min="5379" max="5379" width="9.5703125" style="2" customWidth="1"/>
    <col min="5380" max="5380" width="10.140625" style="2" customWidth="1"/>
    <col min="5381" max="5381" width="16.5703125" style="2" customWidth="1"/>
    <col min="5382" max="5382" width="10.5703125" style="2" customWidth="1"/>
    <col min="5383" max="5383" width="9.85546875" style="2" customWidth="1"/>
    <col min="5384" max="5384" width="6" style="2" customWidth="1"/>
    <col min="5385" max="5632" width="11.42578125" style="2"/>
    <col min="5633" max="5633" width="24.85546875" style="2" customWidth="1"/>
    <col min="5634" max="5634" width="8.7109375" style="2" customWidth="1"/>
    <col min="5635" max="5635" width="9.5703125" style="2" customWidth="1"/>
    <col min="5636" max="5636" width="10.140625" style="2" customWidth="1"/>
    <col min="5637" max="5637" width="16.5703125" style="2" customWidth="1"/>
    <col min="5638" max="5638" width="10.5703125" style="2" customWidth="1"/>
    <col min="5639" max="5639" width="9.85546875" style="2" customWidth="1"/>
    <col min="5640" max="5640" width="6" style="2" customWidth="1"/>
    <col min="5641" max="5888" width="11.42578125" style="2"/>
    <col min="5889" max="5889" width="24.85546875" style="2" customWidth="1"/>
    <col min="5890" max="5890" width="8.7109375" style="2" customWidth="1"/>
    <col min="5891" max="5891" width="9.5703125" style="2" customWidth="1"/>
    <col min="5892" max="5892" width="10.140625" style="2" customWidth="1"/>
    <col min="5893" max="5893" width="16.5703125" style="2" customWidth="1"/>
    <col min="5894" max="5894" width="10.5703125" style="2" customWidth="1"/>
    <col min="5895" max="5895" width="9.85546875" style="2" customWidth="1"/>
    <col min="5896" max="5896" width="6" style="2" customWidth="1"/>
    <col min="5897" max="6144" width="11.42578125" style="2"/>
    <col min="6145" max="6145" width="24.85546875" style="2" customWidth="1"/>
    <col min="6146" max="6146" width="8.7109375" style="2" customWidth="1"/>
    <col min="6147" max="6147" width="9.5703125" style="2" customWidth="1"/>
    <col min="6148" max="6148" width="10.140625" style="2" customWidth="1"/>
    <col min="6149" max="6149" width="16.5703125" style="2" customWidth="1"/>
    <col min="6150" max="6150" width="10.5703125" style="2" customWidth="1"/>
    <col min="6151" max="6151" width="9.85546875" style="2" customWidth="1"/>
    <col min="6152" max="6152" width="6" style="2" customWidth="1"/>
    <col min="6153" max="6400" width="11.42578125" style="2"/>
    <col min="6401" max="6401" width="24.85546875" style="2" customWidth="1"/>
    <col min="6402" max="6402" width="8.7109375" style="2" customWidth="1"/>
    <col min="6403" max="6403" width="9.5703125" style="2" customWidth="1"/>
    <col min="6404" max="6404" width="10.140625" style="2" customWidth="1"/>
    <col min="6405" max="6405" width="16.5703125" style="2" customWidth="1"/>
    <col min="6406" max="6406" width="10.5703125" style="2" customWidth="1"/>
    <col min="6407" max="6407" width="9.85546875" style="2" customWidth="1"/>
    <col min="6408" max="6408" width="6" style="2" customWidth="1"/>
    <col min="6409" max="6656" width="11.42578125" style="2"/>
    <col min="6657" max="6657" width="24.85546875" style="2" customWidth="1"/>
    <col min="6658" max="6658" width="8.7109375" style="2" customWidth="1"/>
    <col min="6659" max="6659" width="9.5703125" style="2" customWidth="1"/>
    <col min="6660" max="6660" width="10.140625" style="2" customWidth="1"/>
    <col min="6661" max="6661" width="16.5703125" style="2" customWidth="1"/>
    <col min="6662" max="6662" width="10.5703125" style="2" customWidth="1"/>
    <col min="6663" max="6663" width="9.85546875" style="2" customWidth="1"/>
    <col min="6664" max="6664" width="6" style="2" customWidth="1"/>
    <col min="6665" max="6912" width="11.42578125" style="2"/>
    <col min="6913" max="6913" width="24.85546875" style="2" customWidth="1"/>
    <col min="6914" max="6914" width="8.7109375" style="2" customWidth="1"/>
    <col min="6915" max="6915" width="9.5703125" style="2" customWidth="1"/>
    <col min="6916" max="6916" width="10.140625" style="2" customWidth="1"/>
    <col min="6917" max="6917" width="16.5703125" style="2" customWidth="1"/>
    <col min="6918" max="6918" width="10.5703125" style="2" customWidth="1"/>
    <col min="6919" max="6919" width="9.85546875" style="2" customWidth="1"/>
    <col min="6920" max="6920" width="6" style="2" customWidth="1"/>
    <col min="6921" max="7168" width="11.42578125" style="2"/>
    <col min="7169" max="7169" width="24.85546875" style="2" customWidth="1"/>
    <col min="7170" max="7170" width="8.7109375" style="2" customWidth="1"/>
    <col min="7171" max="7171" width="9.5703125" style="2" customWidth="1"/>
    <col min="7172" max="7172" width="10.140625" style="2" customWidth="1"/>
    <col min="7173" max="7173" width="16.5703125" style="2" customWidth="1"/>
    <col min="7174" max="7174" width="10.5703125" style="2" customWidth="1"/>
    <col min="7175" max="7175" width="9.85546875" style="2" customWidth="1"/>
    <col min="7176" max="7176" width="6" style="2" customWidth="1"/>
    <col min="7177" max="7424" width="11.42578125" style="2"/>
    <col min="7425" max="7425" width="24.85546875" style="2" customWidth="1"/>
    <col min="7426" max="7426" width="8.7109375" style="2" customWidth="1"/>
    <col min="7427" max="7427" width="9.5703125" style="2" customWidth="1"/>
    <col min="7428" max="7428" width="10.140625" style="2" customWidth="1"/>
    <col min="7429" max="7429" width="16.5703125" style="2" customWidth="1"/>
    <col min="7430" max="7430" width="10.5703125" style="2" customWidth="1"/>
    <col min="7431" max="7431" width="9.85546875" style="2" customWidth="1"/>
    <col min="7432" max="7432" width="6" style="2" customWidth="1"/>
    <col min="7433" max="7680" width="11.42578125" style="2"/>
    <col min="7681" max="7681" width="24.85546875" style="2" customWidth="1"/>
    <col min="7682" max="7682" width="8.7109375" style="2" customWidth="1"/>
    <col min="7683" max="7683" width="9.5703125" style="2" customWidth="1"/>
    <col min="7684" max="7684" width="10.140625" style="2" customWidth="1"/>
    <col min="7685" max="7685" width="16.5703125" style="2" customWidth="1"/>
    <col min="7686" max="7686" width="10.5703125" style="2" customWidth="1"/>
    <col min="7687" max="7687" width="9.85546875" style="2" customWidth="1"/>
    <col min="7688" max="7688" width="6" style="2" customWidth="1"/>
    <col min="7689" max="7936" width="11.42578125" style="2"/>
    <col min="7937" max="7937" width="24.85546875" style="2" customWidth="1"/>
    <col min="7938" max="7938" width="8.7109375" style="2" customWidth="1"/>
    <col min="7939" max="7939" width="9.5703125" style="2" customWidth="1"/>
    <col min="7940" max="7940" width="10.140625" style="2" customWidth="1"/>
    <col min="7941" max="7941" width="16.5703125" style="2" customWidth="1"/>
    <col min="7942" max="7942" width="10.5703125" style="2" customWidth="1"/>
    <col min="7943" max="7943" width="9.85546875" style="2" customWidth="1"/>
    <col min="7944" max="7944" width="6" style="2" customWidth="1"/>
    <col min="7945" max="8192" width="11.42578125" style="2"/>
    <col min="8193" max="8193" width="24.85546875" style="2" customWidth="1"/>
    <col min="8194" max="8194" width="8.7109375" style="2" customWidth="1"/>
    <col min="8195" max="8195" width="9.5703125" style="2" customWidth="1"/>
    <col min="8196" max="8196" width="10.140625" style="2" customWidth="1"/>
    <col min="8197" max="8197" width="16.5703125" style="2" customWidth="1"/>
    <col min="8198" max="8198" width="10.5703125" style="2" customWidth="1"/>
    <col min="8199" max="8199" width="9.85546875" style="2" customWidth="1"/>
    <col min="8200" max="8200" width="6" style="2" customWidth="1"/>
    <col min="8201" max="8448" width="11.42578125" style="2"/>
    <col min="8449" max="8449" width="24.85546875" style="2" customWidth="1"/>
    <col min="8450" max="8450" width="8.7109375" style="2" customWidth="1"/>
    <col min="8451" max="8451" width="9.5703125" style="2" customWidth="1"/>
    <col min="8452" max="8452" width="10.140625" style="2" customWidth="1"/>
    <col min="8453" max="8453" width="16.5703125" style="2" customWidth="1"/>
    <col min="8454" max="8454" width="10.5703125" style="2" customWidth="1"/>
    <col min="8455" max="8455" width="9.85546875" style="2" customWidth="1"/>
    <col min="8456" max="8456" width="6" style="2" customWidth="1"/>
    <col min="8457" max="8704" width="11.42578125" style="2"/>
    <col min="8705" max="8705" width="24.85546875" style="2" customWidth="1"/>
    <col min="8706" max="8706" width="8.7109375" style="2" customWidth="1"/>
    <col min="8707" max="8707" width="9.5703125" style="2" customWidth="1"/>
    <col min="8708" max="8708" width="10.140625" style="2" customWidth="1"/>
    <col min="8709" max="8709" width="16.5703125" style="2" customWidth="1"/>
    <col min="8710" max="8710" width="10.5703125" style="2" customWidth="1"/>
    <col min="8711" max="8711" width="9.85546875" style="2" customWidth="1"/>
    <col min="8712" max="8712" width="6" style="2" customWidth="1"/>
    <col min="8713" max="8960" width="11.42578125" style="2"/>
    <col min="8961" max="8961" width="24.85546875" style="2" customWidth="1"/>
    <col min="8962" max="8962" width="8.7109375" style="2" customWidth="1"/>
    <col min="8963" max="8963" width="9.5703125" style="2" customWidth="1"/>
    <col min="8964" max="8964" width="10.140625" style="2" customWidth="1"/>
    <col min="8965" max="8965" width="16.5703125" style="2" customWidth="1"/>
    <col min="8966" max="8966" width="10.5703125" style="2" customWidth="1"/>
    <col min="8967" max="8967" width="9.85546875" style="2" customWidth="1"/>
    <col min="8968" max="8968" width="6" style="2" customWidth="1"/>
    <col min="8969" max="9216" width="11.42578125" style="2"/>
    <col min="9217" max="9217" width="24.85546875" style="2" customWidth="1"/>
    <col min="9218" max="9218" width="8.7109375" style="2" customWidth="1"/>
    <col min="9219" max="9219" width="9.5703125" style="2" customWidth="1"/>
    <col min="9220" max="9220" width="10.140625" style="2" customWidth="1"/>
    <col min="9221" max="9221" width="16.5703125" style="2" customWidth="1"/>
    <col min="9222" max="9222" width="10.5703125" style="2" customWidth="1"/>
    <col min="9223" max="9223" width="9.85546875" style="2" customWidth="1"/>
    <col min="9224" max="9224" width="6" style="2" customWidth="1"/>
    <col min="9225" max="9472" width="11.42578125" style="2"/>
    <col min="9473" max="9473" width="24.85546875" style="2" customWidth="1"/>
    <col min="9474" max="9474" width="8.7109375" style="2" customWidth="1"/>
    <col min="9475" max="9475" width="9.5703125" style="2" customWidth="1"/>
    <col min="9476" max="9476" width="10.140625" style="2" customWidth="1"/>
    <col min="9477" max="9477" width="16.5703125" style="2" customWidth="1"/>
    <col min="9478" max="9478" width="10.5703125" style="2" customWidth="1"/>
    <col min="9479" max="9479" width="9.85546875" style="2" customWidth="1"/>
    <col min="9480" max="9480" width="6" style="2" customWidth="1"/>
    <col min="9481" max="9728" width="11.42578125" style="2"/>
    <col min="9729" max="9729" width="24.85546875" style="2" customWidth="1"/>
    <col min="9730" max="9730" width="8.7109375" style="2" customWidth="1"/>
    <col min="9731" max="9731" width="9.5703125" style="2" customWidth="1"/>
    <col min="9732" max="9732" width="10.140625" style="2" customWidth="1"/>
    <col min="9733" max="9733" width="16.5703125" style="2" customWidth="1"/>
    <col min="9734" max="9734" width="10.5703125" style="2" customWidth="1"/>
    <col min="9735" max="9735" width="9.85546875" style="2" customWidth="1"/>
    <col min="9736" max="9736" width="6" style="2" customWidth="1"/>
    <col min="9737" max="9984" width="11.42578125" style="2"/>
    <col min="9985" max="9985" width="24.85546875" style="2" customWidth="1"/>
    <col min="9986" max="9986" width="8.7109375" style="2" customWidth="1"/>
    <col min="9987" max="9987" width="9.5703125" style="2" customWidth="1"/>
    <col min="9988" max="9988" width="10.140625" style="2" customWidth="1"/>
    <col min="9989" max="9989" width="16.5703125" style="2" customWidth="1"/>
    <col min="9990" max="9990" width="10.5703125" style="2" customWidth="1"/>
    <col min="9991" max="9991" width="9.85546875" style="2" customWidth="1"/>
    <col min="9992" max="9992" width="6" style="2" customWidth="1"/>
    <col min="9993" max="10240" width="11.42578125" style="2"/>
    <col min="10241" max="10241" width="24.85546875" style="2" customWidth="1"/>
    <col min="10242" max="10242" width="8.7109375" style="2" customWidth="1"/>
    <col min="10243" max="10243" width="9.5703125" style="2" customWidth="1"/>
    <col min="10244" max="10244" width="10.140625" style="2" customWidth="1"/>
    <col min="10245" max="10245" width="16.5703125" style="2" customWidth="1"/>
    <col min="10246" max="10246" width="10.5703125" style="2" customWidth="1"/>
    <col min="10247" max="10247" width="9.85546875" style="2" customWidth="1"/>
    <col min="10248" max="10248" width="6" style="2" customWidth="1"/>
    <col min="10249" max="10496" width="11.42578125" style="2"/>
    <col min="10497" max="10497" width="24.85546875" style="2" customWidth="1"/>
    <col min="10498" max="10498" width="8.7109375" style="2" customWidth="1"/>
    <col min="10499" max="10499" width="9.5703125" style="2" customWidth="1"/>
    <col min="10500" max="10500" width="10.140625" style="2" customWidth="1"/>
    <col min="10501" max="10501" width="16.5703125" style="2" customWidth="1"/>
    <col min="10502" max="10502" width="10.5703125" style="2" customWidth="1"/>
    <col min="10503" max="10503" width="9.85546875" style="2" customWidth="1"/>
    <col min="10504" max="10504" width="6" style="2" customWidth="1"/>
    <col min="10505" max="10752" width="11.42578125" style="2"/>
    <col min="10753" max="10753" width="24.85546875" style="2" customWidth="1"/>
    <col min="10754" max="10754" width="8.7109375" style="2" customWidth="1"/>
    <col min="10755" max="10755" width="9.5703125" style="2" customWidth="1"/>
    <col min="10756" max="10756" width="10.140625" style="2" customWidth="1"/>
    <col min="10757" max="10757" width="16.5703125" style="2" customWidth="1"/>
    <col min="10758" max="10758" width="10.5703125" style="2" customWidth="1"/>
    <col min="10759" max="10759" width="9.85546875" style="2" customWidth="1"/>
    <col min="10760" max="10760" width="6" style="2" customWidth="1"/>
    <col min="10761" max="11008" width="11.42578125" style="2"/>
    <col min="11009" max="11009" width="24.85546875" style="2" customWidth="1"/>
    <col min="11010" max="11010" width="8.7109375" style="2" customWidth="1"/>
    <col min="11011" max="11011" width="9.5703125" style="2" customWidth="1"/>
    <col min="11012" max="11012" width="10.140625" style="2" customWidth="1"/>
    <col min="11013" max="11013" width="16.5703125" style="2" customWidth="1"/>
    <col min="11014" max="11014" width="10.5703125" style="2" customWidth="1"/>
    <col min="11015" max="11015" width="9.85546875" style="2" customWidth="1"/>
    <col min="11016" max="11016" width="6" style="2" customWidth="1"/>
    <col min="11017" max="11264" width="11.42578125" style="2"/>
    <col min="11265" max="11265" width="24.85546875" style="2" customWidth="1"/>
    <col min="11266" max="11266" width="8.7109375" style="2" customWidth="1"/>
    <col min="11267" max="11267" width="9.5703125" style="2" customWidth="1"/>
    <col min="11268" max="11268" width="10.140625" style="2" customWidth="1"/>
    <col min="11269" max="11269" width="16.5703125" style="2" customWidth="1"/>
    <col min="11270" max="11270" width="10.5703125" style="2" customWidth="1"/>
    <col min="11271" max="11271" width="9.85546875" style="2" customWidth="1"/>
    <col min="11272" max="11272" width="6" style="2" customWidth="1"/>
    <col min="11273" max="11520" width="11.42578125" style="2"/>
    <col min="11521" max="11521" width="24.85546875" style="2" customWidth="1"/>
    <col min="11522" max="11522" width="8.7109375" style="2" customWidth="1"/>
    <col min="11523" max="11523" width="9.5703125" style="2" customWidth="1"/>
    <col min="11524" max="11524" width="10.140625" style="2" customWidth="1"/>
    <col min="11525" max="11525" width="16.5703125" style="2" customWidth="1"/>
    <col min="11526" max="11526" width="10.5703125" style="2" customWidth="1"/>
    <col min="11527" max="11527" width="9.85546875" style="2" customWidth="1"/>
    <col min="11528" max="11528" width="6" style="2" customWidth="1"/>
    <col min="11529" max="11776" width="11.42578125" style="2"/>
    <col min="11777" max="11777" width="24.85546875" style="2" customWidth="1"/>
    <col min="11778" max="11778" width="8.7109375" style="2" customWidth="1"/>
    <col min="11779" max="11779" width="9.5703125" style="2" customWidth="1"/>
    <col min="11780" max="11780" width="10.140625" style="2" customWidth="1"/>
    <col min="11781" max="11781" width="16.5703125" style="2" customWidth="1"/>
    <col min="11782" max="11782" width="10.5703125" style="2" customWidth="1"/>
    <col min="11783" max="11783" width="9.85546875" style="2" customWidth="1"/>
    <col min="11784" max="11784" width="6" style="2" customWidth="1"/>
    <col min="11785" max="12032" width="11.42578125" style="2"/>
    <col min="12033" max="12033" width="24.85546875" style="2" customWidth="1"/>
    <col min="12034" max="12034" width="8.7109375" style="2" customWidth="1"/>
    <col min="12035" max="12035" width="9.5703125" style="2" customWidth="1"/>
    <col min="12036" max="12036" width="10.140625" style="2" customWidth="1"/>
    <col min="12037" max="12037" width="16.5703125" style="2" customWidth="1"/>
    <col min="12038" max="12038" width="10.5703125" style="2" customWidth="1"/>
    <col min="12039" max="12039" width="9.85546875" style="2" customWidth="1"/>
    <col min="12040" max="12040" width="6" style="2" customWidth="1"/>
    <col min="12041" max="12288" width="11.42578125" style="2"/>
    <col min="12289" max="12289" width="24.85546875" style="2" customWidth="1"/>
    <col min="12290" max="12290" width="8.7109375" style="2" customWidth="1"/>
    <col min="12291" max="12291" width="9.5703125" style="2" customWidth="1"/>
    <col min="12292" max="12292" width="10.140625" style="2" customWidth="1"/>
    <col min="12293" max="12293" width="16.5703125" style="2" customWidth="1"/>
    <col min="12294" max="12294" width="10.5703125" style="2" customWidth="1"/>
    <col min="12295" max="12295" width="9.85546875" style="2" customWidth="1"/>
    <col min="12296" max="12296" width="6" style="2" customWidth="1"/>
    <col min="12297" max="12544" width="11.42578125" style="2"/>
    <col min="12545" max="12545" width="24.85546875" style="2" customWidth="1"/>
    <col min="12546" max="12546" width="8.7109375" style="2" customWidth="1"/>
    <col min="12547" max="12547" width="9.5703125" style="2" customWidth="1"/>
    <col min="12548" max="12548" width="10.140625" style="2" customWidth="1"/>
    <col min="12549" max="12549" width="16.5703125" style="2" customWidth="1"/>
    <col min="12550" max="12550" width="10.5703125" style="2" customWidth="1"/>
    <col min="12551" max="12551" width="9.85546875" style="2" customWidth="1"/>
    <col min="12552" max="12552" width="6" style="2" customWidth="1"/>
    <col min="12553" max="12800" width="11.42578125" style="2"/>
    <col min="12801" max="12801" width="24.85546875" style="2" customWidth="1"/>
    <col min="12802" max="12802" width="8.7109375" style="2" customWidth="1"/>
    <col min="12803" max="12803" width="9.5703125" style="2" customWidth="1"/>
    <col min="12804" max="12804" width="10.140625" style="2" customWidth="1"/>
    <col min="12805" max="12805" width="16.5703125" style="2" customWidth="1"/>
    <col min="12806" max="12806" width="10.5703125" style="2" customWidth="1"/>
    <col min="12807" max="12807" width="9.85546875" style="2" customWidth="1"/>
    <col min="12808" max="12808" width="6" style="2" customWidth="1"/>
    <col min="12809" max="13056" width="11.42578125" style="2"/>
    <col min="13057" max="13057" width="24.85546875" style="2" customWidth="1"/>
    <col min="13058" max="13058" width="8.7109375" style="2" customWidth="1"/>
    <col min="13059" max="13059" width="9.5703125" style="2" customWidth="1"/>
    <col min="13060" max="13060" width="10.140625" style="2" customWidth="1"/>
    <col min="13061" max="13061" width="16.5703125" style="2" customWidth="1"/>
    <col min="13062" max="13062" width="10.5703125" style="2" customWidth="1"/>
    <col min="13063" max="13063" width="9.85546875" style="2" customWidth="1"/>
    <col min="13064" max="13064" width="6" style="2" customWidth="1"/>
    <col min="13065" max="13312" width="11.42578125" style="2"/>
    <col min="13313" max="13313" width="24.85546875" style="2" customWidth="1"/>
    <col min="13314" max="13314" width="8.7109375" style="2" customWidth="1"/>
    <col min="13315" max="13315" width="9.5703125" style="2" customWidth="1"/>
    <col min="13316" max="13316" width="10.140625" style="2" customWidth="1"/>
    <col min="13317" max="13317" width="16.5703125" style="2" customWidth="1"/>
    <col min="13318" max="13318" width="10.5703125" style="2" customWidth="1"/>
    <col min="13319" max="13319" width="9.85546875" style="2" customWidth="1"/>
    <col min="13320" max="13320" width="6" style="2" customWidth="1"/>
    <col min="13321" max="13568" width="11.42578125" style="2"/>
    <col min="13569" max="13569" width="24.85546875" style="2" customWidth="1"/>
    <col min="13570" max="13570" width="8.7109375" style="2" customWidth="1"/>
    <col min="13571" max="13571" width="9.5703125" style="2" customWidth="1"/>
    <col min="13572" max="13572" width="10.140625" style="2" customWidth="1"/>
    <col min="13573" max="13573" width="16.5703125" style="2" customWidth="1"/>
    <col min="13574" max="13574" width="10.5703125" style="2" customWidth="1"/>
    <col min="13575" max="13575" width="9.85546875" style="2" customWidth="1"/>
    <col min="13576" max="13576" width="6" style="2" customWidth="1"/>
    <col min="13577" max="13824" width="11.42578125" style="2"/>
    <col min="13825" max="13825" width="24.85546875" style="2" customWidth="1"/>
    <col min="13826" max="13826" width="8.7109375" style="2" customWidth="1"/>
    <col min="13827" max="13827" width="9.5703125" style="2" customWidth="1"/>
    <col min="13828" max="13828" width="10.140625" style="2" customWidth="1"/>
    <col min="13829" max="13829" width="16.5703125" style="2" customWidth="1"/>
    <col min="13830" max="13830" width="10.5703125" style="2" customWidth="1"/>
    <col min="13831" max="13831" width="9.85546875" style="2" customWidth="1"/>
    <col min="13832" max="13832" width="6" style="2" customWidth="1"/>
    <col min="13833" max="14080" width="11.42578125" style="2"/>
    <col min="14081" max="14081" width="24.85546875" style="2" customWidth="1"/>
    <col min="14082" max="14082" width="8.7109375" style="2" customWidth="1"/>
    <col min="14083" max="14083" width="9.5703125" style="2" customWidth="1"/>
    <col min="14084" max="14084" width="10.140625" style="2" customWidth="1"/>
    <col min="14085" max="14085" width="16.5703125" style="2" customWidth="1"/>
    <col min="14086" max="14086" width="10.5703125" style="2" customWidth="1"/>
    <col min="14087" max="14087" width="9.85546875" style="2" customWidth="1"/>
    <col min="14088" max="14088" width="6" style="2" customWidth="1"/>
    <col min="14089" max="14336" width="11.42578125" style="2"/>
    <col min="14337" max="14337" width="24.85546875" style="2" customWidth="1"/>
    <col min="14338" max="14338" width="8.7109375" style="2" customWidth="1"/>
    <col min="14339" max="14339" width="9.5703125" style="2" customWidth="1"/>
    <col min="14340" max="14340" width="10.140625" style="2" customWidth="1"/>
    <col min="14341" max="14341" width="16.5703125" style="2" customWidth="1"/>
    <col min="14342" max="14342" width="10.5703125" style="2" customWidth="1"/>
    <col min="14343" max="14343" width="9.85546875" style="2" customWidth="1"/>
    <col min="14344" max="14344" width="6" style="2" customWidth="1"/>
    <col min="14345" max="14592" width="11.42578125" style="2"/>
    <col min="14593" max="14593" width="24.85546875" style="2" customWidth="1"/>
    <col min="14594" max="14594" width="8.7109375" style="2" customWidth="1"/>
    <col min="14595" max="14595" width="9.5703125" style="2" customWidth="1"/>
    <col min="14596" max="14596" width="10.140625" style="2" customWidth="1"/>
    <col min="14597" max="14597" width="16.5703125" style="2" customWidth="1"/>
    <col min="14598" max="14598" width="10.5703125" style="2" customWidth="1"/>
    <col min="14599" max="14599" width="9.85546875" style="2" customWidth="1"/>
    <col min="14600" max="14600" width="6" style="2" customWidth="1"/>
    <col min="14601" max="14848" width="11.42578125" style="2"/>
    <col min="14849" max="14849" width="24.85546875" style="2" customWidth="1"/>
    <col min="14850" max="14850" width="8.7109375" style="2" customWidth="1"/>
    <col min="14851" max="14851" width="9.5703125" style="2" customWidth="1"/>
    <col min="14852" max="14852" width="10.140625" style="2" customWidth="1"/>
    <col min="14853" max="14853" width="16.5703125" style="2" customWidth="1"/>
    <col min="14854" max="14854" width="10.5703125" style="2" customWidth="1"/>
    <col min="14855" max="14855" width="9.85546875" style="2" customWidth="1"/>
    <col min="14856" max="14856" width="6" style="2" customWidth="1"/>
    <col min="14857" max="15104" width="11.42578125" style="2"/>
    <col min="15105" max="15105" width="24.85546875" style="2" customWidth="1"/>
    <col min="15106" max="15106" width="8.7109375" style="2" customWidth="1"/>
    <col min="15107" max="15107" width="9.5703125" style="2" customWidth="1"/>
    <col min="15108" max="15108" width="10.140625" style="2" customWidth="1"/>
    <col min="15109" max="15109" width="16.5703125" style="2" customWidth="1"/>
    <col min="15110" max="15110" width="10.5703125" style="2" customWidth="1"/>
    <col min="15111" max="15111" width="9.85546875" style="2" customWidth="1"/>
    <col min="15112" max="15112" width="6" style="2" customWidth="1"/>
    <col min="15113" max="15360" width="11.42578125" style="2"/>
    <col min="15361" max="15361" width="24.85546875" style="2" customWidth="1"/>
    <col min="15362" max="15362" width="8.7109375" style="2" customWidth="1"/>
    <col min="15363" max="15363" width="9.5703125" style="2" customWidth="1"/>
    <col min="15364" max="15364" width="10.140625" style="2" customWidth="1"/>
    <col min="15365" max="15365" width="16.5703125" style="2" customWidth="1"/>
    <col min="15366" max="15366" width="10.5703125" style="2" customWidth="1"/>
    <col min="15367" max="15367" width="9.85546875" style="2" customWidth="1"/>
    <col min="15368" max="15368" width="6" style="2" customWidth="1"/>
    <col min="15369" max="15616" width="11.42578125" style="2"/>
    <col min="15617" max="15617" width="24.85546875" style="2" customWidth="1"/>
    <col min="15618" max="15618" width="8.7109375" style="2" customWidth="1"/>
    <col min="15619" max="15619" width="9.5703125" style="2" customWidth="1"/>
    <col min="15620" max="15620" width="10.140625" style="2" customWidth="1"/>
    <col min="15621" max="15621" width="16.5703125" style="2" customWidth="1"/>
    <col min="15622" max="15622" width="10.5703125" style="2" customWidth="1"/>
    <col min="15623" max="15623" width="9.85546875" style="2" customWidth="1"/>
    <col min="15624" max="15624" width="6" style="2" customWidth="1"/>
    <col min="15625" max="15872" width="11.42578125" style="2"/>
    <col min="15873" max="15873" width="24.85546875" style="2" customWidth="1"/>
    <col min="15874" max="15874" width="8.7109375" style="2" customWidth="1"/>
    <col min="15875" max="15875" width="9.5703125" style="2" customWidth="1"/>
    <col min="15876" max="15876" width="10.140625" style="2" customWidth="1"/>
    <col min="15877" max="15877" width="16.5703125" style="2" customWidth="1"/>
    <col min="15878" max="15878" width="10.5703125" style="2" customWidth="1"/>
    <col min="15879" max="15879" width="9.85546875" style="2" customWidth="1"/>
    <col min="15880" max="15880" width="6" style="2" customWidth="1"/>
    <col min="15881" max="16128" width="11.42578125" style="2"/>
    <col min="16129" max="16129" width="24.85546875" style="2" customWidth="1"/>
    <col min="16130" max="16130" width="8.7109375" style="2" customWidth="1"/>
    <col min="16131" max="16131" width="9.5703125" style="2" customWidth="1"/>
    <col min="16132" max="16132" width="10.140625" style="2" customWidth="1"/>
    <col min="16133" max="16133" width="16.5703125" style="2" customWidth="1"/>
    <col min="16134" max="16134" width="10.5703125" style="2" customWidth="1"/>
    <col min="16135" max="16135" width="9.85546875" style="2" customWidth="1"/>
    <col min="16136" max="16136" width="6" style="2" customWidth="1"/>
    <col min="16137" max="16384" width="11.42578125" style="2"/>
  </cols>
  <sheetData>
    <row r="1" spans="1:52" x14ac:dyDescent="0.2">
      <c r="A1" s="3" t="s">
        <v>432</v>
      </c>
      <c r="B1" s="40"/>
      <c r="C1" s="40"/>
      <c r="D1" s="40" t="s">
        <v>164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x14ac:dyDescent="0.2">
      <c r="A3" s="41" t="s">
        <v>165</v>
      </c>
      <c r="B3" s="41">
        <v>500000</v>
      </c>
      <c r="C3" s="41"/>
      <c r="D3" s="42" t="s">
        <v>166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x14ac:dyDescent="0.2">
      <c r="A4" s="41" t="s">
        <v>167</v>
      </c>
      <c r="B4" s="41">
        <v>15</v>
      </c>
      <c r="C4" s="41"/>
      <c r="D4" s="41" t="s">
        <v>168</v>
      </c>
      <c r="E4" s="41">
        <v>721000</v>
      </c>
      <c r="F4" s="32" t="s">
        <v>169</v>
      </c>
      <c r="G4" s="41">
        <v>250000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x14ac:dyDescent="0.2">
      <c r="A5" s="41" t="s">
        <v>170</v>
      </c>
      <c r="B5" s="41">
        <v>180000</v>
      </c>
      <c r="C5" s="41"/>
      <c r="D5" s="41"/>
      <c r="E5" s="41"/>
      <c r="F5" s="32" t="s">
        <v>87</v>
      </c>
      <c r="G5" s="41">
        <v>71000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x14ac:dyDescent="0.2">
      <c r="A6" s="41" t="s">
        <v>171</v>
      </c>
      <c r="B6" s="41">
        <v>30</v>
      </c>
      <c r="C6" s="41"/>
      <c r="D6" s="41" t="s">
        <v>89</v>
      </c>
      <c r="E6" s="41">
        <v>105000</v>
      </c>
      <c r="F6" s="32" t="s">
        <v>172</v>
      </c>
      <c r="G6" s="41">
        <v>300000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x14ac:dyDescent="0.2">
      <c r="A7" s="41" t="s">
        <v>173</v>
      </c>
      <c r="B7" s="41">
        <v>80000</v>
      </c>
      <c r="C7" s="41"/>
      <c r="D7" s="41" t="s">
        <v>9</v>
      </c>
      <c r="E7" s="41">
        <v>120000</v>
      </c>
      <c r="F7" s="2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x14ac:dyDescent="0.2">
      <c r="A8" s="41" t="s">
        <v>174</v>
      </c>
      <c r="B8" s="41"/>
      <c r="C8" s="41"/>
      <c r="D8" s="41" t="s">
        <v>14</v>
      </c>
      <c r="E8" s="41">
        <v>262000</v>
      </c>
      <c r="F8" s="32" t="s">
        <v>95</v>
      </c>
      <c r="G8" s="41">
        <v>105000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x14ac:dyDescent="0.2">
      <c r="A9" s="41" t="s">
        <v>175</v>
      </c>
      <c r="B9" s="41"/>
      <c r="C9" s="41"/>
      <c r="D9" s="41" t="s">
        <v>94</v>
      </c>
      <c r="E9" s="41">
        <v>27000</v>
      </c>
      <c r="F9" s="32" t="s">
        <v>15</v>
      </c>
      <c r="G9" s="41">
        <v>189000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x14ac:dyDescent="0.2">
      <c r="A10" s="41" t="s">
        <v>176</v>
      </c>
      <c r="B10" s="41">
        <v>114000</v>
      </c>
      <c r="C10" s="41"/>
      <c r="D10" s="41"/>
      <c r="E10" s="41"/>
      <c r="F10" s="32" t="s">
        <v>177</v>
      </c>
      <c r="G10" s="41">
        <v>120000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x14ac:dyDescent="0.2">
      <c r="A11" s="41" t="s">
        <v>10</v>
      </c>
      <c r="B11" s="67">
        <v>0.14099999999999999</v>
      </c>
      <c r="C11" s="41"/>
      <c r="D11" s="41"/>
      <c r="E11" s="41"/>
      <c r="F11" s="32" t="s">
        <v>178</v>
      </c>
      <c r="G11" s="41">
        <v>90000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x14ac:dyDescent="0.2">
      <c r="A12" s="41" t="s">
        <v>119</v>
      </c>
      <c r="B12" s="67">
        <v>0.12</v>
      </c>
      <c r="C12" s="41"/>
      <c r="D12" s="43"/>
      <c r="E12" s="43"/>
      <c r="F12" s="44" t="s">
        <v>179</v>
      </c>
      <c r="G12" s="43">
        <v>110000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x14ac:dyDescent="0.2">
      <c r="A13" s="40" t="s">
        <v>267</v>
      </c>
      <c r="B13" s="67">
        <v>0.25</v>
      </c>
      <c r="C13" s="40"/>
      <c r="D13" s="41"/>
      <c r="E13" s="41">
        <f>SUM(E4:E12)</f>
        <v>1235000</v>
      </c>
      <c r="F13" s="32"/>
      <c r="G13" s="41">
        <f>SUM(G4:G12)</f>
        <v>1235000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x14ac:dyDescent="0.2">
      <c r="A14" s="41" t="s">
        <v>180</v>
      </c>
      <c r="B14" s="41">
        <v>7000</v>
      </c>
      <c r="C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x14ac:dyDescent="0.2">
      <c r="A15" s="41" t="s">
        <v>181</v>
      </c>
      <c r="B15" s="41">
        <v>136000</v>
      </c>
      <c r="C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x14ac:dyDescent="0.2">
      <c r="A16" s="41" t="s">
        <v>182</v>
      </c>
      <c r="B16" s="41">
        <v>34000</v>
      </c>
      <c r="C16" s="41"/>
      <c r="D16" s="68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x14ac:dyDescent="0.2">
      <c r="A17" s="41" t="s">
        <v>183</v>
      </c>
      <c r="B17" s="41">
        <v>3000</v>
      </c>
      <c r="C17" s="41"/>
      <c r="D17" s="41"/>
      <c r="G17" s="45"/>
      <c r="H17" s="46"/>
      <c r="I17" s="45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x14ac:dyDescent="0.2">
      <c r="A18" s="41" t="s">
        <v>184</v>
      </c>
      <c r="B18" s="41">
        <v>117000</v>
      </c>
      <c r="C18" s="41"/>
      <c r="D18" s="41"/>
      <c r="E18" s="18"/>
      <c r="G18" s="45"/>
      <c r="H18" s="46"/>
      <c r="I18" s="45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x14ac:dyDescent="0.2">
      <c r="A19" s="41" t="s">
        <v>185</v>
      </c>
      <c r="B19" s="41"/>
      <c r="C19" s="41"/>
      <c r="D19" s="41"/>
      <c r="G19" s="46"/>
      <c r="H19" s="46"/>
      <c r="I19" s="46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52" x14ac:dyDescent="0.2">
      <c r="A20" s="41" t="s">
        <v>186</v>
      </c>
      <c r="B20" s="41">
        <v>400000</v>
      </c>
      <c r="C20" s="41"/>
      <c r="D20" s="41"/>
      <c r="G20" s="45"/>
      <c r="H20" s="45"/>
      <c r="I20" s="45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x14ac:dyDescent="0.2">
      <c r="A21" s="41" t="s">
        <v>187</v>
      </c>
      <c r="B21" s="41"/>
      <c r="C21" s="41"/>
      <c r="D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x14ac:dyDescent="0.2">
      <c r="A22" s="41"/>
      <c r="B22" s="41"/>
      <c r="C22" s="41"/>
      <c r="D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x14ac:dyDescent="0.2">
      <c r="A23" s="42" t="s">
        <v>188</v>
      </c>
      <c r="B23" s="41"/>
      <c r="C23" s="45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x14ac:dyDescent="0.2">
      <c r="A24" s="41" t="s">
        <v>84</v>
      </c>
      <c r="B24" s="41">
        <v>500000</v>
      </c>
      <c r="C24" s="45"/>
      <c r="D24" s="42" t="s">
        <v>189</v>
      </c>
      <c r="E24" s="45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x14ac:dyDescent="0.2">
      <c r="A25" s="41" t="s">
        <v>190</v>
      </c>
      <c r="B25" s="41">
        <f>E28</f>
        <v>205000</v>
      </c>
      <c r="C25" s="45"/>
      <c r="D25" s="41" t="s">
        <v>51</v>
      </c>
      <c r="E25" s="45">
        <v>105000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x14ac:dyDescent="0.2">
      <c r="A26" s="41" t="s">
        <v>191</v>
      </c>
      <c r="B26" s="41">
        <f>B15</f>
        <v>136000</v>
      </c>
      <c r="C26" s="45"/>
      <c r="D26" s="41" t="s">
        <v>192</v>
      </c>
      <c r="E26" s="45">
        <v>180000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x14ac:dyDescent="0.2">
      <c r="A27" s="41" t="s">
        <v>193</v>
      </c>
      <c r="B27" s="41">
        <v>114100</v>
      </c>
      <c r="C27" s="45"/>
      <c r="D27" s="43" t="s">
        <v>55</v>
      </c>
      <c r="E27" s="43">
        <v>80000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x14ac:dyDescent="0.2">
      <c r="A28" s="43" t="s">
        <v>194</v>
      </c>
      <c r="B28" s="43">
        <v>7000</v>
      </c>
      <c r="C28" s="45"/>
      <c r="D28" s="41" t="s">
        <v>195</v>
      </c>
      <c r="E28" s="41">
        <f>E25+E26-E27</f>
        <v>205000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52" x14ac:dyDescent="0.2">
      <c r="A29" s="41" t="s">
        <v>23</v>
      </c>
      <c r="B29" s="41">
        <f>B24-SUM(B25:B28)</f>
        <v>37900</v>
      </c>
      <c r="C29" s="45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x14ac:dyDescent="0.2">
      <c r="A30" s="43" t="s">
        <v>196</v>
      </c>
      <c r="B30" s="43">
        <v>3000</v>
      </c>
      <c r="C30" s="4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52" x14ac:dyDescent="0.2">
      <c r="A31" s="41" t="s">
        <v>197</v>
      </c>
      <c r="B31" s="42">
        <f>B29-B30</f>
        <v>34900</v>
      </c>
      <c r="C31" s="45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x14ac:dyDescent="0.2">
      <c r="A32" s="41"/>
      <c r="B32" s="41"/>
      <c r="C32" s="45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x14ac:dyDescent="0.2">
      <c r="A33" s="47" t="s">
        <v>198</v>
      </c>
      <c r="B33" s="43"/>
      <c r="C33" s="48" t="s">
        <v>55</v>
      </c>
      <c r="D33" s="41"/>
      <c r="E33" s="42" t="s">
        <v>199</v>
      </c>
      <c r="F33" s="41"/>
      <c r="G33" s="41"/>
      <c r="H33" s="41"/>
      <c r="I33" s="42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1:52" x14ac:dyDescent="0.2">
      <c r="A34" s="49" t="s">
        <v>200</v>
      </c>
      <c r="B34" s="41"/>
      <c r="C34" s="32"/>
      <c r="D34" s="41"/>
      <c r="E34" s="41" t="s">
        <v>201</v>
      </c>
      <c r="F34" s="41">
        <v>114100</v>
      </c>
      <c r="G34" s="41"/>
      <c r="H34" s="41"/>
      <c r="I34" s="42" t="s">
        <v>202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x14ac:dyDescent="0.2">
      <c r="A35" s="41" t="s">
        <v>203</v>
      </c>
      <c r="B35" s="41">
        <f>E8</f>
        <v>262000</v>
      </c>
      <c r="C35" s="32">
        <f>B36</f>
        <v>312500</v>
      </c>
      <c r="D35" s="41"/>
      <c r="E35" s="40" t="s">
        <v>204</v>
      </c>
      <c r="F35" s="41">
        <f>(F34/1.141)*0.141</f>
        <v>14099.999999999998</v>
      </c>
      <c r="G35" s="41"/>
      <c r="H35" s="41"/>
      <c r="I35" s="41">
        <f>G12*0.141</f>
        <v>15509.999999999998</v>
      </c>
      <c r="J35" s="41" t="s">
        <v>205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x14ac:dyDescent="0.2">
      <c r="A36" s="43" t="s">
        <v>33</v>
      </c>
      <c r="B36" s="43">
        <f>500000*1.25*0.5</f>
        <v>312500</v>
      </c>
      <c r="C36" s="32"/>
      <c r="D36" s="41"/>
      <c r="E36" s="41" t="s">
        <v>206</v>
      </c>
      <c r="F36" s="41">
        <f>F34-F35</f>
        <v>100000</v>
      </c>
      <c r="G36" s="41"/>
      <c r="H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52" x14ac:dyDescent="0.2">
      <c r="A37" s="50" t="s">
        <v>132</v>
      </c>
      <c r="B37" s="50">
        <f>SUM(B35:B36)</f>
        <v>574500</v>
      </c>
      <c r="C37" s="32"/>
      <c r="D37" s="41"/>
      <c r="E37" s="41" t="s">
        <v>207</v>
      </c>
      <c r="F37" s="41">
        <f>(F36/1.12)*0.12</f>
        <v>10714.285714285712</v>
      </c>
      <c r="G37" s="41"/>
      <c r="H37" s="41"/>
      <c r="I37" s="42" t="s">
        <v>208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x14ac:dyDescent="0.2">
      <c r="A38" s="49" t="s">
        <v>209</v>
      </c>
      <c r="B38" s="41"/>
      <c r="C38" s="32"/>
      <c r="D38" s="41"/>
      <c r="E38" s="41" t="s">
        <v>210</v>
      </c>
      <c r="F38" s="41">
        <f>F36-F37</f>
        <v>89285.71428571429</v>
      </c>
      <c r="G38" s="41"/>
      <c r="H38" s="41"/>
      <c r="I38" s="41">
        <f>G11-I35</f>
        <v>74490</v>
      </c>
      <c r="J38" s="41" t="s">
        <v>211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52" x14ac:dyDescent="0.2">
      <c r="A39" s="41" t="s">
        <v>212</v>
      </c>
      <c r="B39" s="41">
        <f>G9</f>
        <v>189000</v>
      </c>
      <c r="C39" s="32">
        <f>E26*1.25</f>
        <v>225000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x14ac:dyDescent="0.2">
      <c r="A40" s="41" t="s">
        <v>213</v>
      </c>
      <c r="B40" s="41">
        <f>B26*1.25</f>
        <v>170000</v>
      </c>
      <c r="C40" s="32"/>
      <c r="D40" s="41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2" x14ac:dyDescent="0.2">
      <c r="A41" s="41" t="s">
        <v>137</v>
      </c>
      <c r="B41" s="41">
        <f>F38</f>
        <v>89285.71428571429</v>
      </c>
      <c r="C41" s="32">
        <f>G12+F37</f>
        <v>120714.28571428571</v>
      </c>
      <c r="D41" s="41"/>
      <c r="E41" s="51" t="s">
        <v>214</v>
      </c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</row>
    <row r="42" spans="1:52" x14ac:dyDescent="0.2">
      <c r="A42" s="45" t="s">
        <v>215</v>
      </c>
      <c r="B42" s="69">
        <f>I38</f>
        <v>74490</v>
      </c>
      <c r="C42" s="45">
        <f>I35+F35</f>
        <v>29609.999999999996</v>
      </c>
      <c r="D42" s="41"/>
      <c r="E42" s="41" t="s">
        <v>216</v>
      </c>
      <c r="F42" s="41">
        <f>G10</f>
        <v>120000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52" x14ac:dyDescent="0.2">
      <c r="A43" s="40" t="s">
        <v>217</v>
      </c>
      <c r="B43" s="70"/>
      <c r="C43" s="45">
        <f>F46</f>
        <v>166000</v>
      </c>
      <c r="D43" s="41"/>
      <c r="E43" s="41" t="s">
        <v>218</v>
      </c>
      <c r="F43" s="41">
        <f>500000*0.25</f>
        <v>125000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x14ac:dyDescent="0.2">
      <c r="A44" s="50" t="s">
        <v>145</v>
      </c>
      <c r="B44" s="52">
        <f>SUM(B39:B43)</f>
        <v>522775.71428571432</v>
      </c>
      <c r="C44" s="32"/>
      <c r="D44" s="41"/>
      <c r="E44" s="41" t="s">
        <v>219</v>
      </c>
      <c r="F44" s="41">
        <f>136000*0.25</f>
        <v>34000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</row>
    <row r="45" spans="1:52" x14ac:dyDescent="0.2">
      <c r="A45" s="50" t="s">
        <v>220</v>
      </c>
      <c r="B45" s="53">
        <f>B37-B44</f>
        <v>51724.285714285681</v>
      </c>
      <c r="C45" s="32"/>
      <c r="D45" s="41"/>
      <c r="E45" s="43" t="s">
        <v>221</v>
      </c>
      <c r="F45" s="43">
        <f>180000*0.25</f>
        <v>45000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</row>
    <row r="46" spans="1:52" x14ac:dyDescent="0.2">
      <c r="A46" s="49" t="s">
        <v>148</v>
      </c>
      <c r="B46" s="41"/>
      <c r="C46" s="32"/>
      <c r="E46" s="40" t="s">
        <v>222</v>
      </c>
      <c r="F46" s="41">
        <f>F42+F43-F44-F45</f>
        <v>166000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</row>
    <row r="47" spans="1:52" x14ac:dyDescent="0.2">
      <c r="A47" s="41" t="s">
        <v>223</v>
      </c>
      <c r="B47" s="41">
        <v>117000</v>
      </c>
      <c r="C47" s="32">
        <f>G6-B47</f>
        <v>183000</v>
      </c>
      <c r="D47" s="2" t="s">
        <v>224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</row>
    <row r="48" spans="1:52" x14ac:dyDescent="0.2">
      <c r="A48" s="43" t="s">
        <v>225</v>
      </c>
      <c r="B48" s="54">
        <v>3000</v>
      </c>
      <c r="C48" s="3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</row>
    <row r="49" spans="1:52" x14ac:dyDescent="0.2">
      <c r="A49" s="50" t="s">
        <v>226</v>
      </c>
      <c r="B49" s="52">
        <f>SUM(B47:B48)</f>
        <v>120000</v>
      </c>
      <c r="C49" s="32"/>
      <c r="D49" s="42" t="s">
        <v>227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</row>
    <row r="50" spans="1:52" x14ac:dyDescent="0.2">
      <c r="A50" s="50" t="s">
        <v>228</v>
      </c>
      <c r="B50" s="53">
        <f>0-B49</f>
        <v>-120000</v>
      </c>
      <c r="C50" s="32"/>
      <c r="D50" s="41" t="s">
        <v>168</v>
      </c>
      <c r="E50" s="41">
        <f>E4-B28</f>
        <v>714000</v>
      </c>
      <c r="F50" s="32" t="s">
        <v>169</v>
      </c>
      <c r="G50" s="41">
        <v>250000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</row>
    <row r="51" spans="1:52" x14ac:dyDescent="0.2">
      <c r="A51" s="50" t="s">
        <v>229</v>
      </c>
      <c r="B51" s="50">
        <f>B45+B50</f>
        <v>-68275.714285714319</v>
      </c>
      <c r="C51" s="32"/>
      <c r="D51" s="41"/>
      <c r="E51" s="41"/>
      <c r="F51" s="32" t="s">
        <v>87</v>
      </c>
      <c r="G51" s="41">
        <f>G5+B31</f>
        <v>105900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</row>
    <row r="52" spans="1:52" x14ac:dyDescent="0.2">
      <c r="A52" s="41" t="s">
        <v>230</v>
      </c>
      <c r="B52" s="41">
        <f>G8-E9</f>
        <v>78000</v>
      </c>
      <c r="C52" s="32"/>
      <c r="D52" s="41" t="s">
        <v>89</v>
      </c>
      <c r="E52" s="41">
        <v>80000</v>
      </c>
      <c r="F52" s="32" t="s">
        <v>172</v>
      </c>
      <c r="G52" s="41">
        <f>C47</f>
        <v>183000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</row>
    <row r="53" spans="1:52" x14ac:dyDescent="0.2">
      <c r="A53" s="43" t="s">
        <v>231</v>
      </c>
      <c r="B53" s="43">
        <f>B52-B51</f>
        <v>146275.71428571432</v>
      </c>
      <c r="C53" s="32"/>
      <c r="D53" s="41" t="s">
        <v>9</v>
      </c>
      <c r="E53" s="41">
        <f>E7</f>
        <v>120000</v>
      </c>
      <c r="F53" s="26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</row>
    <row r="54" spans="1:52" x14ac:dyDescent="0.2">
      <c r="A54" s="41"/>
      <c r="B54" s="41"/>
      <c r="C54" s="41"/>
      <c r="D54" s="41" t="s">
        <v>14</v>
      </c>
      <c r="E54" s="41">
        <f>C35</f>
        <v>312500</v>
      </c>
      <c r="F54" s="32" t="s">
        <v>95</v>
      </c>
      <c r="G54" s="41">
        <f>B53</f>
        <v>146275.71428571432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</row>
    <row r="55" spans="1:52" x14ac:dyDescent="0.2">
      <c r="A55" s="41"/>
      <c r="B55" s="41"/>
      <c r="C55" s="41"/>
      <c r="D55" s="41" t="s">
        <v>94</v>
      </c>
      <c r="E55" s="41">
        <v>0</v>
      </c>
      <c r="F55" s="32" t="s">
        <v>15</v>
      </c>
      <c r="G55" s="41">
        <f>C39</f>
        <v>225000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</row>
    <row r="56" spans="1:52" x14ac:dyDescent="0.2">
      <c r="A56" s="41"/>
      <c r="B56" s="41"/>
      <c r="C56" s="41"/>
      <c r="D56" s="41"/>
      <c r="E56" s="41"/>
      <c r="F56" s="32" t="s">
        <v>177</v>
      </c>
      <c r="G56" s="41">
        <f>F46</f>
        <v>166000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</row>
    <row r="57" spans="1:52" x14ac:dyDescent="0.2">
      <c r="A57" s="41"/>
      <c r="B57" s="41"/>
      <c r="C57" s="41"/>
      <c r="D57" s="41"/>
      <c r="E57" s="41"/>
      <c r="F57" s="32" t="s">
        <v>178</v>
      </c>
      <c r="G57" s="41">
        <f>C42</f>
        <v>29609.999999999996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x14ac:dyDescent="0.2">
      <c r="A58" s="41"/>
      <c r="B58" s="41"/>
      <c r="C58" s="41"/>
      <c r="D58" s="43"/>
      <c r="E58" s="43"/>
      <c r="F58" s="44" t="s">
        <v>179</v>
      </c>
      <c r="G58" s="43">
        <f>C41</f>
        <v>120714.28571428571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x14ac:dyDescent="0.2">
      <c r="A59" s="41"/>
      <c r="B59" s="41"/>
      <c r="C59" s="41"/>
      <c r="D59" s="41"/>
      <c r="E59" s="42">
        <f>SUM(E50:E55)</f>
        <v>1226500</v>
      </c>
      <c r="F59" s="55"/>
      <c r="G59" s="42">
        <f>SUM(G50:G58)</f>
        <v>1226500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</row>
    <row r="60" spans="1:5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</row>
    <row r="61" spans="1:5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</row>
    <row r="62" spans="1:5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</row>
    <row r="64" spans="1:5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</row>
    <row r="67" spans="1:5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</row>
    <row r="68" spans="1:5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</row>
    <row r="69" spans="1:5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</row>
    <row r="70" spans="1:5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</row>
    <row r="72" spans="1:5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</row>
    <row r="73" spans="1:5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</row>
    <row r="74" spans="1:5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</row>
    <row r="75" spans="1:5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</row>
    <row r="76" spans="1:5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  <row r="77" spans="1:5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</row>
    <row r="78" spans="1:5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</row>
    <row r="80" spans="1:5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</row>
    <row r="81" spans="1:5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</row>
    <row r="82" spans="1:5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</row>
    <row r="83" spans="1:5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</row>
    <row r="84" spans="1:5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</row>
    <row r="85" spans="1:5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</row>
    <row r="86" spans="1:5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</row>
    <row r="87" spans="1:5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</row>
    <row r="88" spans="1:5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</row>
    <row r="89" spans="1:5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</row>
    <row r="90" spans="1:5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</row>
    <row r="93" spans="1:5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</row>
    <row r="95" spans="1:5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</row>
    <row r="97" spans="1:5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</row>
    <row r="100" spans="1:5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</row>
    <row r="101" spans="1:5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2" spans="1:5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</row>
    <row r="103" spans="1:5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</row>
    <row r="105" spans="1:5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</row>
    <row r="106" spans="1:5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1:5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</row>
    <row r="108" spans="1:5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</row>
    <row r="109" spans="1:5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</row>
    <row r="110" spans="1:5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</row>
    <row r="111" spans="1:5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</row>
    <row r="112" spans="1:5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</row>
    <row r="113" spans="1:5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</row>
    <row r="114" spans="1:5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</row>
    <row r="115" spans="1:5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</row>
    <row r="116" spans="1:5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</row>
    <row r="117" spans="1:5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</row>
    <row r="118" spans="1:5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</row>
    <row r="119" spans="1:5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</row>
    <row r="120" spans="1:5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</row>
    <row r="121" spans="1:5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</row>
    <row r="122" spans="1:5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</row>
    <row r="123" spans="1:5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</row>
    <row r="124" spans="1:5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</row>
    <row r="125" spans="1:5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</row>
    <row r="126" spans="1:5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</row>
    <row r="127" spans="1:5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</row>
    <row r="128" spans="1:5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</row>
    <row r="129" spans="1:5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</row>
    <row r="130" spans="1:5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</row>
    <row r="131" spans="1:5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</row>
    <row r="132" spans="1:5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</row>
    <row r="133" spans="1:5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</row>
    <row r="134" spans="1:5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</row>
    <row r="135" spans="1:5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</row>
    <row r="136" spans="1:5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</row>
    <row r="137" spans="1:5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</row>
    <row r="138" spans="1:5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</row>
    <row r="139" spans="1:5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</row>
    <row r="140" spans="1:5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</row>
    <row r="141" spans="1:5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</row>
    <row r="142" spans="1:5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</row>
    <row r="143" spans="1:5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</row>
    <row r="144" spans="1:5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</row>
    <row r="145" spans="1:5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</row>
    <row r="146" spans="1:5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</row>
    <row r="147" spans="1:5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</row>
    <row r="148" spans="1:5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</row>
    <row r="149" spans="1:5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</row>
    <row r="150" spans="1:5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</row>
    <row r="151" spans="1:5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</row>
    <row r="152" spans="1:5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</row>
    <row r="153" spans="1:5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</row>
    <row r="154" spans="1:5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</row>
    <row r="155" spans="1:5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</row>
    <row r="156" spans="1:5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</row>
    <row r="157" spans="1:5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</row>
    <row r="158" spans="1:5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</row>
    <row r="159" spans="1:5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</row>
    <row r="160" spans="1:5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</row>
    <row r="161" spans="1:5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</row>
    <row r="162" spans="1:5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</row>
    <row r="163" spans="1:5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</row>
    <row r="164" spans="1:5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</row>
    <row r="165" spans="1:5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</row>
    <row r="166" spans="1:5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</row>
    <row r="167" spans="1:5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</row>
    <row r="168" spans="1:5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</row>
    <row r="169" spans="1:5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</row>
    <row r="170" spans="1:5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</row>
    <row r="171" spans="1:52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</row>
    <row r="172" spans="1:52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</row>
    <row r="173" spans="1:52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</row>
    <row r="174" spans="1:52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</row>
    <row r="175" spans="1:52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</row>
    <row r="176" spans="1:52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</row>
    <row r="177" spans="1:52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</row>
    <row r="178" spans="1:52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</row>
    <row r="179" spans="1:52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</row>
    <row r="180" spans="1:52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</row>
    <row r="181" spans="1:52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</row>
    <row r="182" spans="1:52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</row>
    <row r="183" spans="1:52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</row>
    <row r="184" spans="1:52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</row>
    <row r="185" spans="1:52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</row>
    <row r="186" spans="1:52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</row>
    <row r="187" spans="1:52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</row>
    <row r="188" spans="1:52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</row>
    <row r="189" spans="1:52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</row>
    <row r="190" spans="1:52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</row>
    <row r="191" spans="1:52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</row>
    <row r="192" spans="1:52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</row>
    <row r="193" spans="1:52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</row>
    <row r="194" spans="1:52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</row>
    <row r="195" spans="1:52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</row>
    <row r="196" spans="1:52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</row>
    <row r="197" spans="1:52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</row>
    <row r="198" spans="1:52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</row>
    <row r="199" spans="1:52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</row>
    <row r="200" spans="1:52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</row>
    <row r="201" spans="1:52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</row>
    <row r="202" spans="1:52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</row>
    <row r="203" spans="1:52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</row>
    <row r="204" spans="1:52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</row>
    <row r="205" spans="1:52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</row>
    <row r="206" spans="1:52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</row>
    <row r="207" spans="1:52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</row>
    <row r="208" spans="1:52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</row>
    <row r="209" spans="1:52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</row>
    <row r="210" spans="1:52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</row>
    <row r="211" spans="1:52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</row>
    <row r="212" spans="1:52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</row>
    <row r="213" spans="1:52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</row>
    <row r="214" spans="1:52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</row>
    <row r="215" spans="1:52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</row>
    <row r="216" spans="1:52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</row>
    <row r="217" spans="1:52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</row>
    <row r="218" spans="1:52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</row>
    <row r="219" spans="1:52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</row>
    <row r="220" spans="1:52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</row>
    <row r="221" spans="1:52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400" verticalDpi="400" r:id="rId1"/>
  <headerFooter alignWithMargins="0"/>
  <ignoredErrors>
    <ignoredError sqref="F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4"/>
  <sheetViews>
    <sheetView tabSelected="1" zoomScale="115" zoomScaleNormal="115" workbookViewId="0">
      <selection activeCell="A4" sqref="A4"/>
    </sheetView>
  </sheetViews>
  <sheetFormatPr baseColWidth="10" defaultRowHeight="12.75" x14ac:dyDescent="0.2"/>
  <cols>
    <col min="1" max="1" width="33.140625" style="79" customWidth="1"/>
    <col min="2" max="2" width="12.28515625" style="79" customWidth="1"/>
    <col min="3" max="3" width="7.85546875" style="79" customWidth="1"/>
    <col min="4" max="4" width="11.85546875" style="79" customWidth="1"/>
    <col min="5" max="5" width="8.140625" style="79" customWidth="1"/>
    <col min="6" max="6" width="12.7109375" style="79" customWidth="1"/>
    <col min="7" max="9" width="8.7109375" style="79" customWidth="1"/>
    <col min="10" max="10" width="10" style="79" customWidth="1"/>
    <col min="11" max="11" width="9" style="79" customWidth="1"/>
    <col min="12" max="12" width="9.85546875" style="79" customWidth="1"/>
    <col min="13" max="13" width="8.7109375" style="79" customWidth="1"/>
    <col min="14" max="14" width="8.5703125" style="79" customWidth="1"/>
    <col min="15" max="23" width="10.7109375" style="79" customWidth="1"/>
    <col min="24" max="256" width="9.140625" style="79" customWidth="1"/>
    <col min="257" max="16384" width="11.42578125" style="79"/>
  </cols>
  <sheetData>
    <row r="1" spans="1:52" x14ac:dyDescent="0.2">
      <c r="A1" s="114" t="s">
        <v>433</v>
      </c>
      <c r="B1" s="80" t="s">
        <v>434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</row>
    <row r="2" spans="1:52" ht="15.75" x14ac:dyDescent="0.25">
      <c r="A2" s="11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</row>
    <row r="3" spans="1:52" x14ac:dyDescent="0.2">
      <c r="A3" s="81" t="s">
        <v>431</v>
      </c>
      <c r="B3" s="111">
        <v>0.27</v>
      </c>
      <c r="C3" s="81"/>
      <c r="D3" s="81"/>
      <c r="E3" s="81"/>
      <c r="F3" s="81"/>
      <c r="G3" s="81"/>
      <c r="H3" s="81"/>
      <c r="I3" s="81"/>
      <c r="J3" s="81"/>
      <c r="K3" s="86" t="s">
        <v>430</v>
      </c>
      <c r="L3" s="86"/>
      <c r="M3" s="81"/>
      <c r="N3" s="81"/>
      <c r="O3" s="81"/>
      <c r="P3" s="81"/>
      <c r="Q3" s="81"/>
      <c r="R3" s="81"/>
      <c r="S3" s="81"/>
      <c r="T3" s="81"/>
      <c r="U3" s="81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</row>
    <row r="4" spans="1:52" x14ac:dyDescent="0.2">
      <c r="A4" s="80" t="s">
        <v>267</v>
      </c>
      <c r="B4" s="111">
        <v>0.25</v>
      </c>
      <c r="C4" s="81"/>
      <c r="D4" s="92" t="s">
        <v>328</v>
      </c>
      <c r="E4" s="86"/>
      <c r="F4" s="86"/>
      <c r="G4" s="86"/>
      <c r="H4" s="81"/>
      <c r="I4" s="86" t="s">
        <v>429</v>
      </c>
      <c r="J4" s="86"/>
      <c r="K4" s="86" t="s">
        <v>428</v>
      </c>
      <c r="L4" s="86" t="s">
        <v>427</v>
      </c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</row>
    <row r="5" spans="1:52" x14ac:dyDescent="0.2">
      <c r="A5" s="81" t="s">
        <v>10</v>
      </c>
      <c r="B5" s="110">
        <v>0.14099999999999999</v>
      </c>
      <c r="C5" s="81"/>
      <c r="D5" s="81" t="s">
        <v>313</v>
      </c>
      <c r="E5" s="81">
        <v>56840</v>
      </c>
      <c r="F5" s="85" t="s">
        <v>169</v>
      </c>
      <c r="G5" s="81">
        <v>10000</v>
      </c>
      <c r="H5" s="81"/>
      <c r="I5" s="81">
        <v>1</v>
      </c>
      <c r="J5" s="81" t="s">
        <v>426</v>
      </c>
      <c r="K5" s="108">
        <v>41009</v>
      </c>
      <c r="L5" s="108">
        <v>40983</v>
      </c>
      <c r="M5" s="81"/>
      <c r="N5" s="81"/>
      <c r="O5" s="81"/>
      <c r="P5" s="81"/>
      <c r="Q5" s="81"/>
      <c r="R5" s="81"/>
      <c r="S5" s="81"/>
      <c r="T5" s="81"/>
      <c r="U5" s="81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</row>
    <row r="6" spans="1:52" x14ac:dyDescent="0.2">
      <c r="A6" s="81" t="s">
        <v>119</v>
      </c>
      <c r="B6" s="110">
        <v>0.12</v>
      </c>
      <c r="C6" s="81"/>
      <c r="D6" s="81"/>
      <c r="E6" s="81"/>
      <c r="F6" s="85" t="s">
        <v>87</v>
      </c>
      <c r="G6" s="81">
        <v>15583</v>
      </c>
      <c r="H6" s="81"/>
      <c r="I6" s="81">
        <v>2</v>
      </c>
      <c r="J6" s="81" t="s">
        <v>425</v>
      </c>
      <c r="K6" s="108">
        <v>41070</v>
      </c>
      <c r="L6" s="108">
        <v>41044</v>
      </c>
      <c r="M6" s="81"/>
      <c r="N6" s="81"/>
      <c r="O6" s="81"/>
      <c r="P6" s="81"/>
      <c r="Q6" s="81"/>
      <c r="R6" s="81"/>
      <c r="S6" s="81"/>
      <c r="T6" s="81"/>
      <c r="U6" s="81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52" x14ac:dyDescent="0.2">
      <c r="A7" s="81" t="s">
        <v>424</v>
      </c>
      <c r="B7" s="97">
        <v>8000</v>
      </c>
      <c r="C7" s="81"/>
      <c r="D7" s="81"/>
      <c r="F7" s="85"/>
      <c r="G7" s="81"/>
      <c r="H7" s="81"/>
      <c r="I7" s="81">
        <v>3</v>
      </c>
      <c r="J7" s="81" t="s">
        <v>423</v>
      </c>
      <c r="K7" s="108">
        <v>41131</v>
      </c>
      <c r="L7" s="108">
        <v>41105</v>
      </c>
      <c r="M7" s="81"/>
      <c r="N7" s="81"/>
      <c r="O7" s="81"/>
      <c r="P7" s="81"/>
      <c r="Q7" s="81"/>
      <c r="R7" s="81"/>
      <c r="S7" s="81"/>
      <c r="T7" s="81"/>
      <c r="U7" s="81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</row>
    <row r="8" spans="1:52" x14ac:dyDescent="0.2">
      <c r="A8" s="81" t="s">
        <v>422</v>
      </c>
      <c r="B8" s="97">
        <v>22000</v>
      </c>
      <c r="C8" s="81"/>
      <c r="D8" s="81" t="s">
        <v>89</v>
      </c>
      <c r="E8" s="91">
        <f>700*B18</f>
        <v>595</v>
      </c>
      <c r="F8" s="80" t="s">
        <v>327</v>
      </c>
      <c r="G8" s="81">
        <v>19370</v>
      </c>
      <c r="H8" s="81"/>
      <c r="I8" s="81">
        <v>4</v>
      </c>
      <c r="J8" s="81" t="s">
        <v>421</v>
      </c>
      <c r="K8" s="108">
        <v>41192</v>
      </c>
      <c r="L8" s="108">
        <v>41167</v>
      </c>
      <c r="M8" s="81"/>
      <c r="N8" s="81"/>
      <c r="O8" s="81"/>
      <c r="P8" s="81"/>
      <c r="Q8" s="81"/>
      <c r="R8" s="81"/>
      <c r="S8" s="81"/>
      <c r="T8" s="81"/>
      <c r="U8" s="81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</row>
    <row r="9" spans="1:52" x14ac:dyDescent="0.2">
      <c r="A9" s="81" t="s">
        <v>420</v>
      </c>
      <c r="B9" s="97">
        <v>27000</v>
      </c>
      <c r="C9" s="81"/>
      <c r="D9" s="81" t="s">
        <v>14</v>
      </c>
      <c r="E9" s="81">
        <v>15387</v>
      </c>
      <c r="F9" s="90"/>
      <c r="H9" s="81"/>
      <c r="I9" s="81">
        <v>5</v>
      </c>
      <c r="J9" s="81" t="s">
        <v>419</v>
      </c>
      <c r="K9" s="108">
        <v>41253</v>
      </c>
      <c r="L9" s="108">
        <v>41228</v>
      </c>
      <c r="M9" s="81"/>
      <c r="N9" s="81"/>
      <c r="O9" s="81"/>
      <c r="P9" s="81"/>
      <c r="Q9" s="81"/>
      <c r="R9" s="81"/>
      <c r="S9" s="81"/>
      <c r="T9" s="81"/>
      <c r="U9" s="81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</row>
    <row r="10" spans="1:52" x14ac:dyDescent="0.2">
      <c r="A10" s="81" t="s">
        <v>418</v>
      </c>
      <c r="B10" s="97">
        <v>17000</v>
      </c>
      <c r="C10" s="81"/>
      <c r="D10" s="81"/>
      <c r="E10" s="81"/>
      <c r="F10" s="109"/>
      <c r="G10" s="81"/>
      <c r="H10" s="81"/>
      <c r="I10" s="81">
        <v>6</v>
      </c>
      <c r="J10" s="81" t="s">
        <v>417</v>
      </c>
      <c r="K10" s="108">
        <v>41315</v>
      </c>
      <c r="L10" s="108">
        <v>41289</v>
      </c>
      <c r="M10" s="81"/>
      <c r="N10" s="81"/>
      <c r="O10" s="81"/>
      <c r="P10" s="81"/>
      <c r="Q10" s="81"/>
      <c r="R10" s="81"/>
      <c r="S10" s="81"/>
      <c r="T10" s="81"/>
      <c r="U10" s="81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</row>
    <row r="11" spans="1:52" x14ac:dyDescent="0.2">
      <c r="A11" s="81" t="s">
        <v>416</v>
      </c>
      <c r="B11" s="97">
        <v>20000</v>
      </c>
      <c r="C11" s="81"/>
      <c r="F11" s="85" t="s">
        <v>326</v>
      </c>
      <c r="G11" s="81">
        <v>3807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</row>
    <row r="12" spans="1:52" x14ac:dyDescent="0.2">
      <c r="A12" s="81" t="s">
        <v>415</v>
      </c>
      <c r="B12" s="97">
        <v>700</v>
      </c>
      <c r="C12" s="81"/>
      <c r="F12" s="85" t="s">
        <v>325</v>
      </c>
      <c r="G12" s="81">
        <v>6973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</row>
    <row r="13" spans="1:52" x14ac:dyDescent="0.2">
      <c r="A13" s="81" t="s">
        <v>414</v>
      </c>
      <c r="B13" s="107">
        <v>60</v>
      </c>
      <c r="C13" s="81"/>
      <c r="D13" s="81"/>
      <c r="E13" s="81"/>
      <c r="F13" s="85" t="s">
        <v>177</v>
      </c>
      <c r="G13" s="81">
        <v>1980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</row>
    <row r="14" spans="1:52" x14ac:dyDescent="0.2">
      <c r="A14" s="81" t="s">
        <v>413</v>
      </c>
      <c r="B14" s="107">
        <v>30</v>
      </c>
      <c r="C14" s="81"/>
      <c r="D14" s="81"/>
      <c r="E14" s="81"/>
      <c r="F14" s="85" t="s">
        <v>324</v>
      </c>
      <c r="G14" s="81">
        <v>3381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</row>
    <row r="15" spans="1:52" x14ac:dyDescent="0.2">
      <c r="A15" s="81" t="s">
        <v>412</v>
      </c>
      <c r="B15" s="97">
        <v>45</v>
      </c>
      <c r="C15" s="81"/>
      <c r="D15" s="81"/>
      <c r="E15" s="81"/>
      <c r="F15" s="85" t="s">
        <v>411</v>
      </c>
      <c r="G15" s="81">
        <v>360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</row>
    <row r="16" spans="1:52" x14ac:dyDescent="0.2">
      <c r="A16" s="81" t="s">
        <v>410</v>
      </c>
      <c r="B16" s="97">
        <v>500</v>
      </c>
      <c r="C16" s="81"/>
      <c r="D16" s="81"/>
      <c r="E16" s="81"/>
      <c r="F16" s="85" t="s">
        <v>323</v>
      </c>
      <c r="G16" s="81">
        <v>2973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</row>
    <row r="17" spans="1:52" x14ac:dyDescent="0.2">
      <c r="A17" s="81" t="s">
        <v>409</v>
      </c>
      <c r="B17" s="105">
        <v>1.28</v>
      </c>
      <c r="C17" s="106"/>
      <c r="D17" s="81"/>
      <c r="E17" s="91"/>
      <c r="F17" s="82" t="s">
        <v>322</v>
      </c>
      <c r="G17" s="82">
        <v>7875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</row>
    <row r="18" spans="1:52" x14ac:dyDescent="0.2">
      <c r="A18" s="81" t="s">
        <v>408</v>
      </c>
      <c r="B18" s="105">
        <f>850/1000</f>
        <v>0.85</v>
      </c>
      <c r="C18" s="81"/>
      <c r="D18" s="86"/>
      <c r="E18" s="86"/>
      <c r="F18" s="104" t="s">
        <v>407</v>
      </c>
      <c r="G18" s="86">
        <v>520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</row>
    <row r="19" spans="1:52" x14ac:dyDescent="0.2">
      <c r="A19" s="81" t="s">
        <v>406</v>
      </c>
      <c r="B19" s="81"/>
      <c r="C19" s="80"/>
      <c r="D19" s="81"/>
      <c r="E19" s="81">
        <f>SUM(E5:E18)</f>
        <v>72822</v>
      </c>
      <c r="F19" s="85"/>
      <c r="G19" s="81">
        <f>SUM(G5:G18)</f>
        <v>72822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</row>
    <row r="20" spans="1:52" x14ac:dyDescent="0.2">
      <c r="A20" s="81" t="s">
        <v>405</v>
      </c>
      <c r="C20" s="80"/>
      <c r="D20" s="81"/>
      <c r="E20" s="81"/>
      <c r="F20" s="82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</row>
    <row r="21" spans="1:52" x14ac:dyDescent="0.2">
      <c r="A21" s="81" t="s">
        <v>404</v>
      </c>
      <c r="B21" s="81">
        <v>13000</v>
      </c>
      <c r="C21" s="80"/>
      <c r="D21" s="81"/>
      <c r="E21" s="81"/>
      <c r="F21" s="82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</row>
    <row r="22" spans="1:52" x14ac:dyDescent="0.2">
      <c r="A22" s="81" t="s">
        <v>403</v>
      </c>
      <c r="B22" s="81">
        <v>11000</v>
      </c>
      <c r="C22" s="80"/>
      <c r="D22" s="81" t="s">
        <v>402</v>
      </c>
      <c r="E22" s="81"/>
      <c r="F22" s="82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</row>
    <row r="23" spans="1:52" x14ac:dyDescent="0.2">
      <c r="A23" s="81" t="s">
        <v>401</v>
      </c>
      <c r="B23" s="81">
        <v>8760</v>
      </c>
      <c r="C23" s="80"/>
      <c r="D23" s="81" t="s">
        <v>400</v>
      </c>
      <c r="E23" s="81"/>
      <c r="F23" s="82"/>
      <c r="G23" s="81">
        <f>B5*G17</f>
        <v>1110.375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</row>
    <row r="24" spans="1:52" x14ac:dyDescent="0.2">
      <c r="A24" s="81" t="s">
        <v>399</v>
      </c>
      <c r="B24" s="81">
        <v>1200</v>
      </c>
      <c r="C24" s="80"/>
      <c r="D24" s="81"/>
      <c r="E24" s="81"/>
      <c r="F24" s="82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x14ac:dyDescent="0.2">
      <c r="A25" s="81" t="s">
        <v>398</v>
      </c>
      <c r="B25" s="81">
        <v>80</v>
      </c>
      <c r="C25" s="80"/>
      <c r="D25" s="81" t="s">
        <v>397</v>
      </c>
      <c r="E25" s="81"/>
      <c r="F25" s="82"/>
      <c r="G25" s="81">
        <f>G16-G23</f>
        <v>1862.625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x14ac:dyDescent="0.2">
      <c r="A26" s="81" t="s">
        <v>396</v>
      </c>
      <c r="B26" s="81">
        <v>800</v>
      </c>
      <c r="C26" s="80"/>
      <c r="D26" s="81"/>
      <c r="E26" s="81"/>
      <c r="F26" s="8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x14ac:dyDescent="0.2">
      <c r="A27" s="81" t="s">
        <v>395</v>
      </c>
      <c r="B27" s="81">
        <v>100</v>
      </c>
      <c r="C27" s="80"/>
      <c r="D27" s="81"/>
      <c r="E27" s="81"/>
      <c r="F27" s="82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</row>
    <row r="28" spans="1:52" x14ac:dyDescent="0.2">
      <c r="A28" s="81" t="s">
        <v>394</v>
      </c>
      <c r="C28" s="80"/>
      <c r="D28" s="81"/>
      <c r="E28" s="81"/>
      <c r="F28" s="82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</row>
    <row r="29" spans="1:52" x14ac:dyDescent="0.2">
      <c r="A29" s="81" t="s">
        <v>393</v>
      </c>
      <c r="B29" s="81">
        <v>9000</v>
      </c>
      <c r="C29" s="80"/>
      <c r="D29" s="81"/>
      <c r="E29" s="81"/>
      <c r="F29" s="82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</row>
    <row r="30" spans="1:52" x14ac:dyDescent="0.2">
      <c r="A30" s="81"/>
      <c r="C30" s="80"/>
      <c r="D30" s="81"/>
      <c r="E30" s="81"/>
      <c r="F30" s="82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</row>
    <row r="31" spans="1:52" x14ac:dyDescent="0.2">
      <c r="A31" s="81"/>
      <c r="C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</row>
    <row r="32" spans="1:52" x14ac:dyDescent="0.2">
      <c r="A32" s="81"/>
      <c r="B32" s="81"/>
      <c r="C32" s="81"/>
      <c r="D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</row>
    <row r="33" spans="1:52" x14ac:dyDescent="0.2">
      <c r="A33" s="86" t="s">
        <v>392</v>
      </c>
      <c r="B33" s="86" t="s">
        <v>287</v>
      </c>
      <c r="C33" s="86" t="s">
        <v>286</v>
      </c>
      <c r="D33" s="86" t="s">
        <v>285</v>
      </c>
      <c r="E33" s="86" t="s">
        <v>348</v>
      </c>
      <c r="F33" s="86" t="s">
        <v>347</v>
      </c>
      <c r="G33" s="86" t="s">
        <v>346</v>
      </c>
      <c r="H33" s="86" t="s">
        <v>345</v>
      </c>
      <c r="I33" s="86" t="s">
        <v>344</v>
      </c>
      <c r="J33" s="86" t="s">
        <v>343</v>
      </c>
      <c r="K33" s="86" t="s">
        <v>342</v>
      </c>
      <c r="L33" s="86" t="s">
        <v>341</v>
      </c>
      <c r="M33" s="86" t="s">
        <v>340</v>
      </c>
      <c r="N33" s="82"/>
      <c r="O33" s="81"/>
      <c r="P33" s="81"/>
      <c r="Q33" s="81"/>
      <c r="R33" s="81"/>
      <c r="S33" s="81"/>
      <c r="T33" s="81"/>
      <c r="U33" s="81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</row>
    <row r="34" spans="1:52" x14ac:dyDescent="0.2">
      <c r="A34" s="81" t="s">
        <v>391</v>
      </c>
      <c r="B34" s="81">
        <f>B12</f>
        <v>700</v>
      </c>
      <c r="C34" s="81">
        <f>B38</f>
        <v>500</v>
      </c>
      <c r="D34" s="81">
        <f>C38</f>
        <v>500</v>
      </c>
      <c r="E34" s="81">
        <f>D38</f>
        <v>500</v>
      </c>
      <c r="F34" s="81">
        <f>E38</f>
        <v>500</v>
      </c>
      <c r="G34" s="81">
        <f>F38</f>
        <v>500</v>
      </c>
      <c r="H34" s="81">
        <f>G38</f>
        <v>500</v>
      </c>
      <c r="I34" s="81">
        <f>H38</f>
        <v>500</v>
      </c>
      <c r="J34" s="81">
        <f>I38</f>
        <v>500</v>
      </c>
      <c r="K34" s="81">
        <f>J38</f>
        <v>500</v>
      </c>
      <c r="L34" s="81">
        <f>K38</f>
        <v>500</v>
      </c>
      <c r="M34" s="81">
        <f>L38</f>
        <v>500</v>
      </c>
      <c r="N34" s="82"/>
      <c r="O34" s="81"/>
      <c r="P34" s="81"/>
      <c r="Q34" s="81"/>
      <c r="R34" s="81"/>
      <c r="S34" s="81"/>
      <c r="T34" s="81"/>
      <c r="U34" s="81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</row>
    <row r="35" spans="1:52" x14ac:dyDescent="0.2">
      <c r="A35" s="81" t="s">
        <v>390</v>
      </c>
      <c r="B35" s="81">
        <f>$B$7</f>
        <v>8000</v>
      </c>
      <c r="C35" s="81">
        <f>$B$7</f>
        <v>8000</v>
      </c>
      <c r="D35" s="81">
        <f>$B$7</f>
        <v>8000</v>
      </c>
      <c r="E35" s="81">
        <f>$B$7</f>
        <v>8000</v>
      </c>
      <c r="F35" s="81">
        <f>$B$7</f>
        <v>8000</v>
      </c>
      <c r="G35" s="81">
        <f>$B$7</f>
        <v>8000</v>
      </c>
      <c r="H35" s="81">
        <f>$B$7</f>
        <v>8000</v>
      </c>
      <c r="I35" s="81">
        <f>$B$7</f>
        <v>8000</v>
      </c>
      <c r="J35" s="81">
        <f>$B$7</f>
        <v>8000</v>
      </c>
      <c r="K35" s="81">
        <f>$B$7</f>
        <v>8000</v>
      </c>
      <c r="L35" s="81">
        <f>$B$7</f>
        <v>8000</v>
      </c>
      <c r="M35" s="81">
        <f>$B$7</f>
        <v>8000</v>
      </c>
      <c r="N35" s="82"/>
      <c r="O35" s="81"/>
      <c r="P35" s="81"/>
      <c r="Q35" s="81"/>
      <c r="R35" s="81"/>
      <c r="S35" s="81"/>
      <c r="T35" s="81"/>
      <c r="U35" s="81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</row>
    <row r="36" spans="1:52" x14ac:dyDescent="0.2">
      <c r="A36" s="81" t="s">
        <v>389</v>
      </c>
      <c r="B36" s="81">
        <f>$B$8</f>
        <v>22000</v>
      </c>
      <c r="C36" s="81">
        <f>$B$8</f>
        <v>22000</v>
      </c>
      <c r="D36" s="81">
        <f>$B$8</f>
        <v>22000</v>
      </c>
      <c r="E36" s="81">
        <f>$B$9</f>
        <v>27000</v>
      </c>
      <c r="F36" s="81">
        <f>$B$9</f>
        <v>27000</v>
      </c>
      <c r="G36" s="81">
        <f>$B$9</f>
        <v>27000</v>
      </c>
      <c r="H36" s="81">
        <f>$B$10</f>
        <v>17000</v>
      </c>
      <c r="I36" s="81">
        <f>$B$10</f>
        <v>17000</v>
      </c>
      <c r="J36" s="81">
        <f>$B$10</f>
        <v>17000</v>
      </c>
      <c r="K36" s="81">
        <f>$B$11</f>
        <v>20000</v>
      </c>
      <c r="L36" s="81">
        <f>$B$11</f>
        <v>20000</v>
      </c>
      <c r="M36" s="81">
        <f>$B$11</f>
        <v>20000</v>
      </c>
      <c r="N36" s="82"/>
      <c r="O36" s="81"/>
      <c r="P36" s="81"/>
      <c r="Q36" s="81"/>
      <c r="R36" s="81"/>
      <c r="S36" s="81"/>
      <c r="T36" s="81"/>
      <c r="U36" s="81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</row>
    <row r="37" spans="1:52" x14ac:dyDescent="0.2">
      <c r="A37" s="81" t="s">
        <v>388</v>
      </c>
      <c r="B37" s="81">
        <f>B35+B36+B38-B34</f>
        <v>29800</v>
      </c>
      <c r="C37" s="81">
        <f>C35+C36+C38-C34</f>
        <v>30000</v>
      </c>
      <c r="D37" s="81">
        <f>D35+D36+D38-D34</f>
        <v>30000</v>
      </c>
      <c r="E37" s="81">
        <f>E35+E36+E38-E34</f>
        <v>35000</v>
      </c>
      <c r="F37" s="81">
        <f>F35+F36+F38-F34</f>
        <v>35000</v>
      </c>
      <c r="G37" s="81">
        <f>G35+G36+G38-G34</f>
        <v>35000</v>
      </c>
      <c r="H37" s="81">
        <f>H35+H36+H38-H34</f>
        <v>25000</v>
      </c>
      <c r="I37" s="81">
        <f>I35+I36+I38-I34</f>
        <v>25000</v>
      </c>
      <c r="J37" s="81">
        <f>J35+J36+J38-J34</f>
        <v>25000</v>
      </c>
      <c r="K37" s="81">
        <f>K35+K36+K38-K34</f>
        <v>28000</v>
      </c>
      <c r="L37" s="81">
        <f>L35+L36+L38-L34</f>
        <v>28000</v>
      </c>
      <c r="M37" s="81">
        <f>M35+M36+M38-M34</f>
        <v>28000</v>
      </c>
      <c r="N37" s="86" t="s">
        <v>387</v>
      </c>
      <c r="O37" s="81"/>
      <c r="P37" s="81"/>
      <c r="Q37" s="81"/>
      <c r="R37" s="81"/>
      <c r="S37" s="81"/>
      <c r="T37" s="81"/>
      <c r="U37" s="81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</row>
    <row r="38" spans="1:52" x14ac:dyDescent="0.2">
      <c r="A38" s="81" t="s">
        <v>386</v>
      </c>
      <c r="B38" s="81">
        <f>$B$16</f>
        <v>500</v>
      </c>
      <c r="C38" s="81">
        <f>$B$16</f>
        <v>500</v>
      </c>
      <c r="D38" s="81">
        <f>$B$16</f>
        <v>500</v>
      </c>
      <c r="E38" s="81">
        <f>$B$16</f>
        <v>500</v>
      </c>
      <c r="F38" s="81">
        <f>$B$16</f>
        <v>500</v>
      </c>
      <c r="G38" s="81">
        <f>$B$16</f>
        <v>500</v>
      </c>
      <c r="H38" s="81">
        <f>$B$16</f>
        <v>500</v>
      </c>
      <c r="I38" s="81">
        <f>$B$16</f>
        <v>500</v>
      </c>
      <c r="J38" s="81">
        <f>$B$16</f>
        <v>500</v>
      </c>
      <c r="K38" s="81">
        <f>$B$16</f>
        <v>500</v>
      </c>
      <c r="L38" s="81">
        <f>$B$16</f>
        <v>500</v>
      </c>
      <c r="M38" s="81">
        <f>$B$16</f>
        <v>500</v>
      </c>
      <c r="N38" s="81">
        <f>M38*$B$18</f>
        <v>425</v>
      </c>
      <c r="O38" s="81"/>
      <c r="P38" s="81"/>
      <c r="Q38" s="81"/>
      <c r="R38" s="81"/>
      <c r="S38" s="81"/>
      <c r="T38" s="81"/>
      <c r="U38" s="81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</row>
    <row r="39" spans="1:52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</row>
    <row r="40" spans="1:52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</row>
    <row r="41" spans="1:52" x14ac:dyDescent="0.2">
      <c r="A41" s="86" t="s">
        <v>385</v>
      </c>
      <c r="B41" s="86" t="s">
        <v>287</v>
      </c>
      <c r="C41" s="86" t="s">
        <v>286</v>
      </c>
      <c r="D41" s="86" t="s">
        <v>285</v>
      </c>
      <c r="E41" s="86" t="s">
        <v>348</v>
      </c>
      <c r="F41" s="86" t="s">
        <v>347</v>
      </c>
      <c r="G41" s="86" t="s">
        <v>346</v>
      </c>
      <c r="H41" s="86" t="s">
        <v>345</v>
      </c>
      <c r="I41" s="86" t="s">
        <v>344</v>
      </c>
      <c r="J41" s="86" t="s">
        <v>343</v>
      </c>
      <c r="K41" s="86" t="s">
        <v>342</v>
      </c>
      <c r="L41" s="86" t="s">
        <v>341</v>
      </c>
      <c r="M41" s="86" t="s">
        <v>340</v>
      </c>
      <c r="N41" s="86" t="s">
        <v>370</v>
      </c>
      <c r="O41" s="81"/>
      <c r="P41" s="81"/>
      <c r="Q41" s="81"/>
      <c r="R41" s="81"/>
      <c r="S41" s="81"/>
      <c r="T41" s="81"/>
      <c r="U41" s="81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</row>
    <row r="42" spans="1:52" x14ac:dyDescent="0.2">
      <c r="A42" s="81" t="s">
        <v>384</v>
      </c>
      <c r="B42" s="81">
        <f>$B$17*B35</f>
        <v>10240</v>
      </c>
      <c r="C42" s="81">
        <f>$B$17*C35</f>
        <v>10240</v>
      </c>
      <c r="D42" s="81">
        <f>$B$17*D35</f>
        <v>10240</v>
      </c>
      <c r="E42" s="81">
        <f>$B$17*E35</f>
        <v>10240</v>
      </c>
      <c r="F42" s="81">
        <f>$B$17*F35</f>
        <v>10240</v>
      </c>
      <c r="G42" s="81">
        <f>$B$17*G35</f>
        <v>10240</v>
      </c>
      <c r="H42" s="81">
        <f>$B$17*H35</f>
        <v>10240</v>
      </c>
      <c r="I42" s="81">
        <f>$B$17*I35</f>
        <v>10240</v>
      </c>
      <c r="J42" s="81">
        <f>$B$17*J35</f>
        <v>10240</v>
      </c>
      <c r="K42" s="81">
        <f>$B$17*K35</f>
        <v>10240</v>
      </c>
      <c r="L42" s="81">
        <f>$B$17*L35</f>
        <v>10240</v>
      </c>
      <c r="M42" s="81">
        <f>$B$17*M35</f>
        <v>10240</v>
      </c>
      <c r="N42" s="81">
        <f>SUM(B42:M42)</f>
        <v>122880</v>
      </c>
      <c r="O42" s="81"/>
      <c r="P42" s="81"/>
      <c r="Q42" s="81"/>
      <c r="R42" s="81"/>
      <c r="S42" s="81"/>
      <c r="T42" s="81"/>
      <c r="U42" s="81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</row>
    <row r="43" spans="1:52" x14ac:dyDescent="0.2">
      <c r="A43" s="86" t="s">
        <v>383</v>
      </c>
      <c r="B43" s="86">
        <f>$B$17*B36</f>
        <v>28160</v>
      </c>
      <c r="C43" s="86">
        <f>$B$17*C36</f>
        <v>28160</v>
      </c>
      <c r="D43" s="86">
        <f>$B$17*D36</f>
        <v>28160</v>
      </c>
      <c r="E43" s="86">
        <f>$B$17*E36</f>
        <v>34560</v>
      </c>
      <c r="F43" s="86">
        <f>$B$17*F36</f>
        <v>34560</v>
      </c>
      <c r="G43" s="86">
        <f>$B$17*G36</f>
        <v>34560</v>
      </c>
      <c r="H43" s="86">
        <f>$B$17*H36</f>
        <v>21760</v>
      </c>
      <c r="I43" s="86">
        <f>$B$17*I36</f>
        <v>21760</v>
      </c>
      <c r="J43" s="86">
        <f>$B$17*J36</f>
        <v>21760</v>
      </c>
      <c r="K43" s="86">
        <f>$B$17*K36</f>
        <v>25600</v>
      </c>
      <c r="L43" s="86">
        <f>$B$17*L36</f>
        <v>25600</v>
      </c>
      <c r="M43" s="86">
        <f>$B$17*M36</f>
        <v>25600</v>
      </c>
      <c r="N43" s="86">
        <f>SUM(B43:M43)</f>
        <v>330240</v>
      </c>
      <c r="O43" s="81"/>
      <c r="P43" s="81"/>
      <c r="Q43" s="81"/>
      <c r="R43" s="81"/>
      <c r="S43" s="81"/>
      <c r="T43" s="81"/>
      <c r="U43" s="81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</row>
    <row r="44" spans="1:52" x14ac:dyDescent="0.2">
      <c r="A44" s="81" t="s">
        <v>372</v>
      </c>
      <c r="B44" s="81">
        <f>B42+B43</f>
        <v>38400</v>
      </c>
      <c r="C44" s="81">
        <f>C42+C43</f>
        <v>38400</v>
      </c>
      <c r="D44" s="81">
        <f>D42+D43</f>
        <v>38400</v>
      </c>
      <c r="E44" s="81">
        <f>E42+E43</f>
        <v>44800</v>
      </c>
      <c r="F44" s="81">
        <f>F42+F43</f>
        <v>44800</v>
      </c>
      <c r="G44" s="81">
        <f>G42+G43</f>
        <v>44800</v>
      </c>
      <c r="H44" s="81">
        <f>H42+H43</f>
        <v>32000</v>
      </c>
      <c r="I44" s="81">
        <f>I42+I43</f>
        <v>32000</v>
      </c>
      <c r="J44" s="81">
        <f>J42+J43</f>
        <v>32000</v>
      </c>
      <c r="K44" s="81">
        <f>K42+K43</f>
        <v>35840</v>
      </c>
      <c r="L44" s="81">
        <f>L42+L43</f>
        <v>35840</v>
      </c>
      <c r="M44" s="81">
        <f>M42+M43</f>
        <v>35840</v>
      </c>
      <c r="N44" s="81">
        <f>N42+N43</f>
        <v>453120</v>
      </c>
      <c r="O44" s="81"/>
      <c r="P44" s="81"/>
      <c r="Q44" s="81"/>
      <c r="R44" s="81"/>
      <c r="S44" s="81"/>
      <c r="T44" s="81"/>
      <c r="U44" s="81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</row>
    <row r="45" spans="1:52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</row>
    <row r="46" spans="1:52" x14ac:dyDescent="0.2">
      <c r="A46" s="86" t="s">
        <v>382</v>
      </c>
      <c r="B46" s="86" t="s">
        <v>287</v>
      </c>
      <c r="C46" s="86" t="s">
        <v>286</v>
      </c>
      <c r="D46" s="86" t="s">
        <v>285</v>
      </c>
      <c r="E46" s="86" t="s">
        <v>348</v>
      </c>
      <c r="F46" s="86" t="s">
        <v>347</v>
      </c>
      <c r="G46" s="86" t="s">
        <v>346</v>
      </c>
      <c r="H46" s="86" t="s">
        <v>345</v>
      </c>
      <c r="I46" s="86" t="s">
        <v>344</v>
      </c>
      <c r="J46" s="86" t="s">
        <v>343</v>
      </c>
      <c r="K46" s="86" t="s">
        <v>342</v>
      </c>
      <c r="L46" s="86" t="s">
        <v>341</v>
      </c>
      <c r="M46" s="86" t="s">
        <v>340</v>
      </c>
      <c r="N46" s="86" t="s">
        <v>381</v>
      </c>
      <c r="O46" s="81"/>
      <c r="P46" s="81"/>
      <c r="Q46" s="81"/>
      <c r="R46" s="81"/>
      <c r="S46" s="81"/>
      <c r="T46" s="81"/>
      <c r="U46" s="81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</row>
    <row r="47" spans="1:52" x14ac:dyDescent="0.2">
      <c r="A47" s="81" t="s">
        <v>380</v>
      </c>
      <c r="B47" s="81"/>
      <c r="C47" s="81"/>
      <c r="D47" s="81">
        <f>B42*(1+$B$4)</f>
        <v>12800</v>
      </c>
      <c r="E47" s="81">
        <f>C42*(1+$B$4)</f>
        <v>12800</v>
      </c>
      <c r="F47" s="81">
        <f>D42*(1+$B$4)</f>
        <v>12800</v>
      </c>
      <c r="G47" s="81">
        <f>E42*(1+$B$4)</f>
        <v>12800</v>
      </c>
      <c r="H47" s="81">
        <f>F42*(1+$B$4)</f>
        <v>12800</v>
      </c>
      <c r="I47" s="81">
        <f>G42*(1+$B$4)</f>
        <v>12800</v>
      </c>
      <c r="J47" s="81">
        <f>H42*(1+$B$4)</f>
        <v>12800</v>
      </c>
      <c r="K47" s="81">
        <f>I42*(1+$B$4)</f>
        <v>12800</v>
      </c>
      <c r="L47" s="81">
        <f>J42*(1+$B$4)</f>
        <v>12800</v>
      </c>
      <c r="M47" s="81">
        <f>K42*(1+$B$4)</f>
        <v>12800</v>
      </c>
      <c r="N47" s="81">
        <f>(L42+M42)*(1+$B$4)</f>
        <v>25600</v>
      </c>
      <c r="O47" s="81"/>
      <c r="P47" s="81"/>
      <c r="Q47" s="81"/>
      <c r="R47" s="81"/>
      <c r="S47" s="81"/>
      <c r="T47" s="81"/>
      <c r="U47" s="81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</row>
    <row r="48" spans="1:52" x14ac:dyDescent="0.2">
      <c r="A48" s="86" t="s">
        <v>379</v>
      </c>
      <c r="B48" s="86"/>
      <c r="C48" s="86">
        <f>B43*(1+$B$4)</f>
        <v>35200</v>
      </c>
      <c r="D48" s="86">
        <f>C43*(1+$B$4)</f>
        <v>35200</v>
      </c>
      <c r="E48" s="86">
        <f>D43*(1+$B$4)</f>
        <v>35200</v>
      </c>
      <c r="F48" s="86">
        <f>E43*(1+$B$4)</f>
        <v>43200</v>
      </c>
      <c r="G48" s="86">
        <f>F43*(1+$B$4)</f>
        <v>43200</v>
      </c>
      <c r="H48" s="86">
        <f>G43*(1+$B$4)</f>
        <v>43200</v>
      </c>
      <c r="I48" s="86">
        <f>H43*(1+$B$4)</f>
        <v>27200</v>
      </c>
      <c r="J48" s="86">
        <f>I43*(1+$B$4)</f>
        <v>27200</v>
      </c>
      <c r="K48" s="86">
        <f>J43*(1+$B$4)</f>
        <v>27200</v>
      </c>
      <c r="L48" s="86">
        <f>K43*(1+$B$4)</f>
        <v>32000</v>
      </c>
      <c r="M48" s="86">
        <f>L43*(1+$B$4)</f>
        <v>32000</v>
      </c>
      <c r="N48" s="86">
        <f>M43*(1+$B$4)</f>
        <v>32000</v>
      </c>
      <c r="O48" s="81"/>
      <c r="P48" s="81"/>
      <c r="Q48" s="81"/>
      <c r="R48" s="81"/>
      <c r="S48" s="81"/>
      <c r="T48" s="81"/>
      <c r="U48" s="81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</row>
    <row r="49" spans="1:52" x14ac:dyDescent="0.2">
      <c r="A49" s="81" t="s">
        <v>372</v>
      </c>
      <c r="B49" s="81"/>
      <c r="C49" s="81">
        <f>C47+C48</f>
        <v>35200</v>
      </c>
      <c r="D49" s="81">
        <f>D47+D48</f>
        <v>48000</v>
      </c>
      <c r="E49" s="81">
        <f>E47+E48</f>
        <v>48000</v>
      </c>
      <c r="F49" s="81">
        <f>F47+F48</f>
        <v>56000</v>
      </c>
      <c r="G49" s="81">
        <f>G47+G48</f>
        <v>56000</v>
      </c>
      <c r="H49" s="81">
        <f>H47+H48</f>
        <v>56000</v>
      </c>
      <c r="I49" s="81">
        <f>I47+I48</f>
        <v>40000</v>
      </c>
      <c r="J49" s="81">
        <f>J47+J48</f>
        <v>40000</v>
      </c>
      <c r="K49" s="81">
        <f>K47+K48</f>
        <v>40000</v>
      </c>
      <c r="L49" s="81">
        <f>L47+L48</f>
        <v>44800</v>
      </c>
      <c r="M49" s="81">
        <f>M47+M48</f>
        <v>44800</v>
      </c>
      <c r="N49" s="81">
        <f>N47+N48</f>
        <v>57600</v>
      </c>
      <c r="O49" s="81"/>
      <c r="P49" s="81"/>
      <c r="Q49" s="81"/>
      <c r="R49" s="81"/>
      <c r="S49" s="81"/>
      <c r="T49" s="81"/>
      <c r="U49" s="81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</row>
    <row r="50" spans="1:52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</row>
    <row r="51" spans="1:52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</row>
    <row r="52" spans="1:52" x14ac:dyDescent="0.2">
      <c r="A52" s="86" t="s">
        <v>378</v>
      </c>
      <c r="B52" s="86" t="s">
        <v>287</v>
      </c>
      <c r="C52" s="86" t="s">
        <v>286</v>
      </c>
      <c r="D52" s="86" t="s">
        <v>285</v>
      </c>
      <c r="E52" s="86" t="s">
        <v>348</v>
      </c>
      <c r="F52" s="86" t="s">
        <v>347</v>
      </c>
      <c r="G52" s="86" t="s">
        <v>346</v>
      </c>
      <c r="H52" s="86" t="s">
        <v>345</v>
      </c>
      <c r="I52" s="86" t="s">
        <v>344</v>
      </c>
      <c r="J52" s="86" t="s">
        <v>343</v>
      </c>
      <c r="K52" s="86" t="s">
        <v>342</v>
      </c>
      <c r="L52" s="86" t="s">
        <v>341</v>
      </c>
      <c r="M52" s="86" t="s">
        <v>340</v>
      </c>
      <c r="N52" s="86" t="s">
        <v>370</v>
      </c>
      <c r="O52" s="81"/>
      <c r="P52" s="81"/>
      <c r="Q52" s="81"/>
      <c r="R52" s="81"/>
      <c r="S52" s="81"/>
      <c r="T52" s="81"/>
      <c r="U52" s="81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</row>
    <row r="53" spans="1:52" x14ac:dyDescent="0.2">
      <c r="A53" s="81" t="s">
        <v>377</v>
      </c>
      <c r="B53" s="81">
        <f>$B$18*B37</f>
        <v>25330</v>
      </c>
      <c r="C53" s="81">
        <f>$B$18*C37</f>
        <v>25500</v>
      </c>
      <c r="D53" s="81">
        <f>$B$18*D37</f>
        <v>25500</v>
      </c>
      <c r="E53" s="81">
        <f>$B$18*E37</f>
        <v>29750</v>
      </c>
      <c r="F53" s="81">
        <f>$B$18*F37</f>
        <v>29750</v>
      </c>
      <c r="G53" s="81">
        <f>$B$18*G37</f>
        <v>29750</v>
      </c>
      <c r="H53" s="81">
        <f>$B$18*H37</f>
        <v>21250</v>
      </c>
      <c r="I53" s="81">
        <f>$B$18*I37</f>
        <v>21250</v>
      </c>
      <c r="J53" s="81">
        <f>$B$18*J37</f>
        <v>21250</v>
      </c>
      <c r="K53" s="81">
        <f>$B$18*K37</f>
        <v>23800</v>
      </c>
      <c r="L53" s="81">
        <f>$B$18*L37</f>
        <v>23800</v>
      </c>
      <c r="M53" s="81">
        <f>$B$18*M37</f>
        <v>23800</v>
      </c>
      <c r="N53" s="81">
        <f>SUM(B53:M53)</f>
        <v>300730</v>
      </c>
      <c r="O53" s="81"/>
      <c r="P53" s="81"/>
      <c r="Q53" s="81"/>
      <c r="R53" s="81"/>
      <c r="S53" s="81"/>
      <c r="T53" s="81"/>
      <c r="U53" s="81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</row>
    <row r="54" spans="1:52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</row>
    <row r="55" spans="1:52" x14ac:dyDescent="0.2">
      <c r="A55" s="86" t="s">
        <v>376</v>
      </c>
      <c r="B55" s="86" t="s">
        <v>287</v>
      </c>
      <c r="C55" s="86" t="s">
        <v>286</v>
      </c>
      <c r="D55" s="86" t="s">
        <v>285</v>
      </c>
      <c r="E55" s="86" t="s">
        <v>348</v>
      </c>
      <c r="F55" s="86" t="s">
        <v>347</v>
      </c>
      <c r="G55" s="86" t="s">
        <v>346</v>
      </c>
      <c r="H55" s="86" t="s">
        <v>345</v>
      </c>
      <c r="I55" s="86" t="s">
        <v>344</v>
      </c>
      <c r="J55" s="86" t="s">
        <v>343</v>
      </c>
      <c r="K55" s="86" t="s">
        <v>342</v>
      </c>
      <c r="L55" s="86" t="s">
        <v>341</v>
      </c>
      <c r="M55" s="86" t="s">
        <v>340</v>
      </c>
      <c r="N55" s="86" t="s">
        <v>375</v>
      </c>
      <c r="O55" s="81"/>
      <c r="P55" s="81"/>
      <c r="Q55" s="81"/>
      <c r="R55" s="81"/>
      <c r="S55" s="81"/>
      <c r="T55" s="81"/>
      <c r="U55" s="81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</row>
    <row r="56" spans="1:52" x14ac:dyDescent="0.2">
      <c r="A56" s="81" t="s">
        <v>374</v>
      </c>
      <c r="B56" s="81">
        <f>$G$12*2/3</f>
        <v>4648.666666666667</v>
      </c>
      <c r="C56" s="81">
        <f>$G$12*1/3</f>
        <v>2324.3333333333335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</row>
    <row r="57" spans="1:52" x14ac:dyDescent="0.2">
      <c r="A57" s="86" t="s">
        <v>373</v>
      </c>
      <c r="B57" s="86"/>
      <c r="C57" s="86">
        <f>(1+$B$4)*B53/2</f>
        <v>15831.25</v>
      </c>
      <c r="D57" s="86">
        <f>(1+$B$4)*(B53/2+C53/2)</f>
        <v>31768.75</v>
      </c>
      <c r="E57" s="86">
        <f>(1+$B$4)*(C53/2+D53/2)</f>
        <v>31875</v>
      </c>
      <c r="F57" s="86">
        <f>(1+$B$4)*(D53/2+E53/2)</f>
        <v>34531.25</v>
      </c>
      <c r="G57" s="86">
        <f>(1+$B$4)*(E53/2+F53/2)</f>
        <v>37187.5</v>
      </c>
      <c r="H57" s="86">
        <f>(1+$B$4)*(F53/2+G53/2)</f>
        <v>37187.5</v>
      </c>
      <c r="I57" s="86">
        <f>(1+$B$4)*(G53/2+H53/2)</f>
        <v>31875</v>
      </c>
      <c r="J57" s="86">
        <f>(1+$B$4)*(H53/2+I53/2)</f>
        <v>26562.5</v>
      </c>
      <c r="K57" s="86">
        <f>(1+$B$4)*(I53/2+J53/2)</f>
        <v>26562.5</v>
      </c>
      <c r="L57" s="86">
        <f>(1+$B$4)*(J53/2+K53/2)</f>
        <v>28156.25</v>
      </c>
      <c r="M57" s="86">
        <f>(1+$B$4)*(K53/2+L53/2)</f>
        <v>29750</v>
      </c>
      <c r="N57" s="86">
        <f>(1+$B$4)*(L53/2+M53)</f>
        <v>44625</v>
      </c>
      <c r="O57" s="81"/>
      <c r="P57" s="81"/>
      <c r="Q57" s="81"/>
      <c r="R57" s="81"/>
      <c r="S57" s="81"/>
      <c r="T57" s="81"/>
      <c r="U57" s="81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</row>
    <row r="58" spans="1:52" x14ac:dyDescent="0.2">
      <c r="A58" s="81" t="s">
        <v>372</v>
      </c>
      <c r="B58" s="81">
        <f>B56+B57</f>
        <v>4648.666666666667</v>
      </c>
      <c r="C58" s="81">
        <f>C56+C57</f>
        <v>18155.583333333332</v>
      </c>
      <c r="D58" s="81">
        <f>D56+D57</f>
        <v>31768.75</v>
      </c>
      <c r="E58" s="81">
        <f>E56+E57</f>
        <v>31875</v>
      </c>
      <c r="F58" s="81">
        <f>F56+F57</f>
        <v>34531.25</v>
      </c>
      <c r="G58" s="81">
        <f>G56+G57</f>
        <v>37187.5</v>
      </c>
      <c r="H58" s="81">
        <f>H56+H57</f>
        <v>37187.5</v>
      </c>
      <c r="I58" s="81">
        <f>I56+I57</f>
        <v>31875</v>
      </c>
      <c r="J58" s="81">
        <f>J56+J57</f>
        <v>26562.5</v>
      </c>
      <c r="K58" s="81">
        <f>K56+K57</f>
        <v>26562.5</v>
      </c>
      <c r="L58" s="81">
        <f>L56+L57</f>
        <v>28156.25</v>
      </c>
      <c r="M58" s="81">
        <f>M56+M57</f>
        <v>29750</v>
      </c>
      <c r="N58" s="81">
        <f>N56+N57</f>
        <v>44625</v>
      </c>
      <c r="O58" s="81"/>
      <c r="P58" s="81"/>
      <c r="Q58" s="81"/>
      <c r="R58" s="81"/>
      <c r="S58" s="81"/>
      <c r="T58" s="81"/>
      <c r="U58" s="81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</row>
    <row r="59" spans="1:52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</row>
    <row r="60" spans="1:52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</row>
    <row r="61" spans="1:52" x14ac:dyDescent="0.2">
      <c r="A61" s="92" t="s">
        <v>371</v>
      </c>
      <c r="B61" s="86" t="s">
        <v>287</v>
      </c>
      <c r="C61" s="86" t="s">
        <v>286</v>
      </c>
      <c r="D61" s="86" t="s">
        <v>285</v>
      </c>
      <c r="E61" s="86" t="s">
        <v>348</v>
      </c>
      <c r="F61" s="86" t="s">
        <v>347</v>
      </c>
      <c r="G61" s="86" t="s">
        <v>346</v>
      </c>
      <c r="H61" s="86" t="s">
        <v>345</v>
      </c>
      <c r="I61" s="86" t="s">
        <v>344</v>
      </c>
      <c r="J61" s="86" t="s">
        <v>343</v>
      </c>
      <c r="K61" s="86" t="s">
        <v>342</v>
      </c>
      <c r="L61" s="86" t="s">
        <v>341</v>
      </c>
      <c r="M61" s="86" t="s">
        <v>340</v>
      </c>
      <c r="N61" s="86" t="s">
        <v>370</v>
      </c>
      <c r="O61" s="81"/>
      <c r="P61" s="81"/>
      <c r="Q61" s="81"/>
      <c r="R61" s="81"/>
      <c r="S61" s="81"/>
      <c r="T61" s="81"/>
      <c r="U61" s="81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</row>
    <row r="62" spans="1:52" x14ac:dyDescent="0.2">
      <c r="A62" s="81" t="s">
        <v>84</v>
      </c>
      <c r="B62" s="81">
        <f>B44</f>
        <v>38400</v>
      </c>
      <c r="C62" s="81">
        <f>C44</f>
        <v>38400</v>
      </c>
      <c r="D62" s="81">
        <f>D44</f>
        <v>38400</v>
      </c>
      <c r="E62" s="81">
        <f>E44</f>
        <v>44800</v>
      </c>
      <c r="F62" s="81">
        <f>F44</f>
        <v>44800</v>
      </c>
      <c r="G62" s="81">
        <f>G44</f>
        <v>44800</v>
      </c>
      <c r="H62" s="81">
        <f>H44</f>
        <v>32000</v>
      </c>
      <c r="I62" s="81">
        <f>I44</f>
        <v>32000</v>
      </c>
      <c r="J62" s="81">
        <f>J44</f>
        <v>32000</v>
      </c>
      <c r="K62" s="81">
        <f>K44</f>
        <v>35840</v>
      </c>
      <c r="L62" s="81">
        <f>L44</f>
        <v>35840</v>
      </c>
      <c r="M62" s="81">
        <f>M44</f>
        <v>35840</v>
      </c>
      <c r="N62" s="81">
        <f>N44</f>
        <v>453120</v>
      </c>
      <c r="O62" s="81"/>
      <c r="P62" s="81"/>
      <c r="Q62" s="81"/>
      <c r="R62" s="81"/>
      <c r="S62" s="81"/>
      <c r="T62" s="81"/>
      <c r="U62" s="81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</row>
    <row r="63" spans="1:52" x14ac:dyDescent="0.2">
      <c r="A63" s="81" t="s">
        <v>369</v>
      </c>
      <c r="B63" s="81">
        <f>(B35+B36)*$B$18</f>
        <v>25500</v>
      </c>
      <c r="C63" s="81">
        <f>(C35+C36)*$B$18</f>
        <v>25500</v>
      </c>
      <c r="D63" s="81">
        <f>(D35+D36)*$B$18</f>
        <v>25500</v>
      </c>
      <c r="E63" s="81">
        <f>(E35+E36)*$B$18</f>
        <v>29750</v>
      </c>
      <c r="F63" s="81">
        <f>(F35+F36)*$B$18</f>
        <v>29750</v>
      </c>
      <c r="G63" s="81">
        <f>(G35+G36)*$B$18</f>
        <v>29750</v>
      </c>
      <c r="H63" s="81">
        <f>(H35+H36)*$B$18</f>
        <v>21250</v>
      </c>
      <c r="I63" s="81">
        <f>(I35+I36)*$B$18</f>
        <v>21250</v>
      </c>
      <c r="J63" s="81">
        <f>(J35+J36)*$B$18</f>
        <v>21250</v>
      </c>
      <c r="K63" s="81">
        <f>(K35+K36)*$B$18</f>
        <v>23800</v>
      </c>
      <c r="L63" s="81">
        <f>(L35+L36)*$B$18</f>
        <v>23800</v>
      </c>
      <c r="M63" s="81">
        <f>(M35+M36)*$B$18</f>
        <v>23800</v>
      </c>
      <c r="N63" s="81">
        <f>SUM(B63:M63)</f>
        <v>300900</v>
      </c>
      <c r="O63" s="81"/>
      <c r="P63" s="81"/>
      <c r="Q63" s="81"/>
      <c r="R63" s="81"/>
      <c r="S63" s="81"/>
      <c r="T63" s="81"/>
      <c r="U63" s="81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</row>
    <row r="64" spans="1:52" x14ac:dyDescent="0.2">
      <c r="A64" s="81" t="s">
        <v>368</v>
      </c>
      <c r="B64" s="81">
        <f>$B$22</f>
        <v>11000</v>
      </c>
      <c r="C64" s="81">
        <f>$B$22</f>
        <v>11000</v>
      </c>
      <c r="D64" s="81">
        <f>$B$22</f>
        <v>11000</v>
      </c>
      <c r="E64" s="81">
        <f>$B$21</f>
        <v>13000</v>
      </c>
      <c r="F64" s="81">
        <f>$B$21</f>
        <v>13000</v>
      </c>
      <c r="G64" s="81">
        <v>0</v>
      </c>
      <c r="H64" s="81">
        <f>$B$22</f>
        <v>11000</v>
      </c>
      <c r="I64" s="81">
        <f>$B$22</f>
        <v>11000</v>
      </c>
      <c r="J64" s="81">
        <f>$B$22</f>
        <v>11000</v>
      </c>
      <c r="K64" s="81">
        <f>$B$22</f>
        <v>11000</v>
      </c>
      <c r="L64" s="81">
        <f>$B$22</f>
        <v>11000</v>
      </c>
      <c r="M64" s="81">
        <f>$B$22</f>
        <v>11000</v>
      </c>
      <c r="N64" s="81">
        <f>SUM(B64:M64)</f>
        <v>125000</v>
      </c>
      <c r="O64" s="81"/>
      <c r="P64" s="81"/>
      <c r="Q64" s="81"/>
      <c r="R64" s="81"/>
      <c r="S64" s="81"/>
      <c r="T64" s="81"/>
      <c r="U64" s="81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</row>
    <row r="65" spans="1:52" x14ac:dyDescent="0.2">
      <c r="A65" s="81" t="s">
        <v>367</v>
      </c>
      <c r="B65" s="81">
        <f>$B$26</f>
        <v>800</v>
      </c>
      <c r="C65" s="81">
        <f>$B$26</f>
        <v>800</v>
      </c>
      <c r="D65" s="81">
        <f>$B$26</f>
        <v>800</v>
      </c>
      <c r="E65" s="81">
        <f>$B$26</f>
        <v>800</v>
      </c>
      <c r="F65" s="81">
        <f>$B$26</f>
        <v>800</v>
      </c>
      <c r="G65" s="81">
        <f>$B$26</f>
        <v>800</v>
      </c>
      <c r="H65" s="81">
        <f>$B$26</f>
        <v>800</v>
      </c>
      <c r="I65" s="81">
        <f>$B$26</f>
        <v>800</v>
      </c>
      <c r="J65" s="81">
        <f>$B$26</f>
        <v>800</v>
      </c>
      <c r="K65" s="81">
        <f>$B$26</f>
        <v>800</v>
      </c>
      <c r="L65" s="81">
        <f>$B$26</f>
        <v>800</v>
      </c>
      <c r="M65" s="81">
        <f>$B$26</f>
        <v>800</v>
      </c>
      <c r="N65" s="81">
        <f>SUM(B65:M65)</f>
        <v>9600</v>
      </c>
      <c r="O65" s="81"/>
      <c r="P65" s="81"/>
      <c r="Q65" s="81"/>
      <c r="R65" s="81"/>
      <c r="S65" s="81"/>
      <c r="T65" s="81"/>
      <c r="U65" s="81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</row>
    <row r="66" spans="1:52" x14ac:dyDescent="0.2">
      <c r="A66" s="86" t="s">
        <v>96</v>
      </c>
      <c r="B66" s="86">
        <f>$B$24</f>
        <v>1200</v>
      </c>
      <c r="C66" s="86">
        <f>$B$24</f>
        <v>1200</v>
      </c>
      <c r="D66" s="86">
        <f>$B$24</f>
        <v>1200</v>
      </c>
      <c r="E66" s="86">
        <f>$B$24</f>
        <v>1200</v>
      </c>
      <c r="F66" s="86">
        <f>$B$24</f>
        <v>1200</v>
      </c>
      <c r="G66" s="86">
        <f>$B$24</f>
        <v>1200</v>
      </c>
      <c r="H66" s="86">
        <f>$B$24</f>
        <v>1200</v>
      </c>
      <c r="I66" s="86">
        <f>$B$24+$B$25</f>
        <v>1280</v>
      </c>
      <c r="J66" s="86">
        <f>$B$24+$B$25</f>
        <v>1280</v>
      </c>
      <c r="K66" s="86">
        <f>$B$24+$B$25</f>
        <v>1280</v>
      </c>
      <c r="L66" s="86">
        <f>$B$24+$B$25</f>
        <v>1280</v>
      </c>
      <c r="M66" s="86">
        <f>$B$24+$B$25</f>
        <v>1280</v>
      </c>
      <c r="N66" s="86">
        <f>SUM(B66:M66)</f>
        <v>14800</v>
      </c>
      <c r="O66" s="81"/>
      <c r="P66" s="81"/>
      <c r="Q66" s="81"/>
      <c r="R66" s="81"/>
      <c r="S66" s="81"/>
      <c r="T66" s="81"/>
      <c r="U66" s="81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</row>
    <row r="67" spans="1:52" x14ac:dyDescent="0.2">
      <c r="A67" s="81" t="s">
        <v>23</v>
      </c>
      <c r="B67" s="81">
        <f>B62-SUM(B63:B66)</f>
        <v>-100</v>
      </c>
      <c r="C67" s="81">
        <f>C62-SUM(C63:C66)</f>
        <v>-100</v>
      </c>
      <c r="D67" s="81">
        <f>D62-SUM(D63:D66)</f>
        <v>-100</v>
      </c>
      <c r="E67" s="81">
        <f>E62-SUM(E63:E66)</f>
        <v>50</v>
      </c>
      <c r="F67" s="81">
        <f>F62-SUM(F63:F66)</f>
        <v>50</v>
      </c>
      <c r="G67" s="81">
        <f>G62-SUM(G63:G66)</f>
        <v>13050</v>
      </c>
      <c r="H67" s="81">
        <f>H62-SUM(H63:H66)</f>
        <v>-2250</v>
      </c>
      <c r="I67" s="81">
        <f>I62-SUM(I63:I66)</f>
        <v>-2330</v>
      </c>
      <c r="J67" s="81">
        <f>J62-SUM(J63:J66)</f>
        <v>-2330</v>
      </c>
      <c r="K67" s="81">
        <f>K62-SUM(K63:K66)</f>
        <v>-1040</v>
      </c>
      <c r="L67" s="81">
        <f>L62-SUM(L63:L66)</f>
        <v>-1040</v>
      </c>
      <c r="M67" s="81">
        <f>M62-SUM(M63:M66)</f>
        <v>-1040</v>
      </c>
      <c r="N67" s="81">
        <f>N62-SUM(N63:N66)</f>
        <v>2820</v>
      </c>
      <c r="O67" s="81"/>
      <c r="P67" s="81"/>
      <c r="Q67" s="81"/>
      <c r="R67" s="81"/>
      <c r="S67" s="81"/>
      <c r="T67" s="81"/>
      <c r="U67" s="81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</row>
    <row r="68" spans="1:52" x14ac:dyDescent="0.2">
      <c r="A68" s="86" t="s">
        <v>366</v>
      </c>
      <c r="B68" s="86">
        <f>$B$27</f>
        <v>100</v>
      </c>
      <c r="C68" s="86">
        <f>$B$27</f>
        <v>100</v>
      </c>
      <c r="D68" s="86">
        <f>$B$27</f>
        <v>100</v>
      </c>
      <c r="E68" s="86">
        <f>$B$27</f>
        <v>100</v>
      </c>
      <c r="F68" s="86">
        <f>$B$27</f>
        <v>100</v>
      </c>
      <c r="G68" s="86">
        <f>$B$27</f>
        <v>100</v>
      </c>
      <c r="H68" s="86">
        <f>$B$27</f>
        <v>100</v>
      </c>
      <c r="I68" s="86">
        <f>$B$27</f>
        <v>100</v>
      </c>
      <c r="J68" s="86">
        <f>$B$27</f>
        <v>100</v>
      </c>
      <c r="K68" s="86">
        <f>$B$27</f>
        <v>100</v>
      </c>
      <c r="L68" s="86">
        <f>$B$27</f>
        <v>100</v>
      </c>
      <c r="M68" s="86">
        <f>$B$27</f>
        <v>100</v>
      </c>
      <c r="N68" s="86">
        <f>SUM(B68:M68)</f>
        <v>1200</v>
      </c>
      <c r="O68" s="81"/>
      <c r="P68" s="81"/>
      <c r="Q68" s="81"/>
      <c r="R68" s="81"/>
      <c r="S68" s="81"/>
      <c r="T68" s="81"/>
      <c r="U68" s="81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</row>
    <row r="69" spans="1:52" x14ac:dyDescent="0.2">
      <c r="A69" s="81" t="s">
        <v>365</v>
      </c>
      <c r="B69" s="81">
        <f>B67-B68</f>
        <v>-200</v>
      </c>
      <c r="C69" s="81">
        <f>C67-C68</f>
        <v>-200</v>
      </c>
      <c r="D69" s="81">
        <f>D67-D68</f>
        <v>-200</v>
      </c>
      <c r="E69" s="81">
        <f>E67-E68</f>
        <v>-50</v>
      </c>
      <c r="F69" s="81">
        <f>F67-F68</f>
        <v>-50</v>
      </c>
      <c r="G69" s="81">
        <f>G67-G68</f>
        <v>12950</v>
      </c>
      <c r="H69" s="81">
        <f>H67-H68</f>
        <v>-2350</v>
      </c>
      <c r="I69" s="81">
        <f>I67-I68</f>
        <v>-2430</v>
      </c>
      <c r="J69" s="81">
        <f>J67-J68</f>
        <v>-2430</v>
      </c>
      <c r="K69" s="81">
        <f>K67-K68</f>
        <v>-1140</v>
      </c>
      <c r="L69" s="81">
        <f>L67-L68</f>
        <v>-1140</v>
      </c>
      <c r="M69" s="81">
        <f>M67-M68</f>
        <v>-1140</v>
      </c>
      <c r="N69" s="81">
        <f>N67-N68</f>
        <v>1620</v>
      </c>
      <c r="O69" s="81"/>
      <c r="P69" s="81"/>
      <c r="Q69" s="81"/>
      <c r="R69" s="81"/>
      <c r="S69" s="81"/>
      <c r="T69" s="81"/>
      <c r="U69" s="81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</row>
    <row r="70" spans="1:52" x14ac:dyDescent="0.2">
      <c r="A70" s="81" t="s">
        <v>364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>
        <f>$B$3*N69</f>
        <v>437.40000000000003</v>
      </c>
      <c r="O70" s="81"/>
      <c r="P70" s="81"/>
      <c r="Q70" s="81"/>
      <c r="R70" s="81"/>
      <c r="S70" s="81"/>
      <c r="T70" s="81"/>
      <c r="U70" s="81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</row>
    <row r="71" spans="1:52" x14ac:dyDescent="0.2">
      <c r="A71" s="81" t="s">
        <v>363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>
        <f>N69-N70</f>
        <v>1182.5999999999999</v>
      </c>
      <c r="O71" s="81"/>
      <c r="P71" s="81"/>
      <c r="Q71" s="81"/>
      <c r="R71" s="81"/>
      <c r="S71" s="81"/>
      <c r="T71" s="81"/>
      <c r="U71" s="81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</row>
    <row r="72" spans="1:52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</row>
    <row r="73" spans="1:52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</row>
    <row r="74" spans="1:52" x14ac:dyDescent="0.2">
      <c r="A74" s="86" t="s">
        <v>362</v>
      </c>
      <c r="B74" s="86" t="s">
        <v>287</v>
      </c>
      <c r="C74" s="86" t="s">
        <v>286</v>
      </c>
      <c r="D74" s="86" t="s">
        <v>285</v>
      </c>
      <c r="E74" s="86" t="s">
        <v>348</v>
      </c>
      <c r="F74" s="86" t="s">
        <v>347</v>
      </c>
      <c r="G74" s="86" t="s">
        <v>346</v>
      </c>
      <c r="H74" s="86" t="s">
        <v>345</v>
      </c>
      <c r="I74" s="86" t="s">
        <v>344</v>
      </c>
      <c r="J74" s="86" t="s">
        <v>343</v>
      </c>
      <c r="K74" s="86" t="s">
        <v>342</v>
      </c>
      <c r="L74" s="86" t="s">
        <v>341</v>
      </c>
      <c r="M74" s="86" t="s">
        <v>340</v>
      </c>
      <c r="N74" s="86" t="s">
        <v>339</v>
      </c>
      <c r="O74" s="81"/>
      <c r="P74" s="81"/>
      <c r="Q74" s="81"/>
      <c r="R74" s="81"/>
      <c r="S74" s="81"/>
      <c r="T74" s="81"/>
      <c r="U74" s="81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</row>
    <row r="75" spans="1:52" x14ac:dyDescent="0.2">
      <c r="A75" s="81" t="s">
        <v>361</v>
      </c>
      <c r="B75" s="81">
        <f>B64</f>
        <v>11000</v>
      </c>
      <c r="C75" s="81">
        <f>C64</f>
        <v>11000</v>
      </c>
      <c r="D75" s="81">
        <f>D64</f>
        <v>11000</v>
      </c>
      <c r="E75" s="81">
        <f>E64</f>
        <v>13000</v>
      </c>
      <c r="F75" s="81">
        <f>F64</f>
        <v>13000</v>
      </c>
      <c r="G75" s="81">
        <f>G64</f>
        <v>0</v>
      </c>
      <c r="H75" s="81">
        <f>H64</f>
        <v>11000</v>
      </c>
      <c r="I75" s="81">
        <f>I64</f>
        <v>11000</v>
      </c>
      <c r="J75" s="81">
        <f>J64</f>
        <v>11000</v>
      </c>
      <c r="K75" s="81">
        <f>K64</f>
        <v>11000</v>
      </c>
      <c r="L75" s="81">
        <f>L64</f>
        <v>11000</v>
      </c>
      <c r="M75" s="81">
        <f>M64</f>
        <v>11000</v>
      </c>
      <c r="N75" s="81"/>
      <c r="O75" s="81"/>
      <c r="P75" s="81"/>
      <c r="Q75" s="81"/>
      <c r="R75" s="81"/>
      <c r="S75" s="81"/>
      <c r="T75" s="81"/>
      <c r="U75" s="81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</row>
    <row r="76" spans="1:52" x14ac:dyDescent="0.2">
      <c r="A76" s="82" t="s">
        <v>360</v>
      </c>
      <c r="B76" s="81">
        <f>$B$5*B79</f>
        <v>145.6429197445849</v>
      </c>
      <c r="C76" s="81">
        <f>$B$5*C79</f>
        <v>145.6429197445849</v>
      </c>
      <c r="D76" s="81">
        <f>$B$5*D79</f>
        <v>145.6429197445849</v>
      </c>
      <c r="E76" s="81">
        <f>$B$5*E79</f>
        <v>172.12345060723672</v>
      </c>
      <c r="F76" s="81">
        <f>$B$5*F79</f>
        <v>172.12345060723672</v>
      </c>
      <c r="G76" s="81">
        <f>$B$5*G79</f>
        <v>0</v>
      </c>
      <c r="H76" s="81">
        <f>$B$5*H79</f>
        <v>145.6429197445849</v>
      </c>
      <c r="I76" s="81">
        <f>$B$5*I79</f>
        <v>145.6429197445849</v>
      </c>
      <c r="J76" s="81">
        <f>$B$5*J79</f>
        <v>145.6429197445849</v>
      </c>
      <c r="K76" s="81">
        <f>$B$5*K79</f>
        <v>145.6429197445849</v>
      </c>
      <c r="L76" s="81">
        <f>$B$5*L79</f>
        <v>145.6429197445849</v>
      </c>
      <c r="M76" s="81">
        <f>$B$5*M79</f>
        <v>145.6429197445849</v>
      </c>
      <c r="N76" s="81"/>
      <c r="O76" s="81"/>
      <c r="P76" s="81"/>
      <c r="Q76" s="81"/>
      <c r="R76" s="81"/>
      <c r="S76" s="81"/>
      <c r="T76" s="81"/>
      <c r="U76" s="81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</row>
    <row r="77" spans="1:52" x14ac:dyDescent="0.2">
      <c r="A77" s="82" t="s">
        <v>359</v>
      </c>
      <c r="B77" s="81">
        <f>$B$5*B80</f>
        <v>1213.690997871541</v>
      </c>
      <c r="C77" s="81">
        <f>$B$5*C80</f>
        <v>1213.690997871541</v>
      </c>
      <c r="D77" s="81">
        <f>$B$5*D80</f>
        <v>1213.690997871541</v>
      </c>
      <c r="E77" s="81">
        <f>$B$5*E80</f>
        <v>1434.3620883936394</v>
      </c>
      <c r="F77" s="81">
        <f>$B$5*F80</f>
        <v>1434.3620883936394</v>
      </c>
      <c r="G77" s="81">
        <f>$B$5*G80</f>
        <v>0</v>
      </c>
      <c r="H77" s="81">
        <f>$B$5*H80</f>
        <v>1213.690997871541</v>
      </c>
      <c r="I77" s="81">
        <f>$B$5*I80</f>
        <v>1213.690997871541</v>
      </c>
      <c r="J77" s="81">
        <f>$B$5*J80</f>
        <v>1213.690997871541</v>
      </c>
      <c r="K77" s="81">
        <f>$B$5*K80</f>
        <v>1213.690997871541</v>
      </c>
      <c r="L77" s="81">
        <f>$B$5*L80</f>
        <v>1213.690997871541</v>
      </c>
      <c r="M77" s="81">
        <f>$B$5*M80</f>
        <v>1213.690997871541</v>
      </c>
      <c r="N77" s="81"/>
      <c r="O77" s="81"/>
      <c r="P77" s="81"/>
      <c r="Q77" s="81"/>
      <c r="R77" s="81"/>
      <c r="S77" s="81"/>
      <c r="T77" s="81"/>
      <c r="U77" s="81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</row>
    <row r="78" spans="1:52" x14ac:dyDescent="0.2">
      <c r="A78" s="82" t="s">
        <v>358</v>
      </c>
      <c r="B78" s="82">
        <f>B75/(1+$B$5)</f>
        <v>9640.6660823838738</v>
      </c>
      <c r="C78" s="82">
        <f>C75/(1+$B$5)</f>
        <v>9640.6660823838738</v>
      </c>
      <c r="D78" s="82">
        <f>D75/(1+$B$5)</f>
        <v>9640.6660823838738</v>
      </c>
      <c r="E78" s="82">
        <f>E75/(1+$B$5)</f>
        <v>11393.514460999124</v>
      </c>
      <c r="F78" s="82">
        <f>F75/(1+$B$5)</f>
        <v>11393.514460999124</v>
      </c>
      <c r="G78" s="82">
        <f>G75/(1+$B$5)</f>
        <v>0</v>
      </c>
      <c r="H78" s="82">
        <f>H75/(1+$B$5)</f>
        <v>9640.6660823838738</v>
      </c>
      <c r="I78" s="82">
        <f>I75/(1+$B$5)</f>
        <v>9640.6660823838738</v>
      </c>
      <c r="J78" s="82">
        <f>J75/(1+$B$5)</f>
        <v>9640.6660823838738</v>
      </c>
      <c r="K78" s="82">
        <f>K75/(1+$B$5)</f>
        <v>9640.6660823838738</v>
      </c>
      <c r="L78" s="82">
        <f>L75/(1+$B$5)</f>
        <v>9640.6660823838738</v>
      </c>
      <c r="M78" s="82">
        <f>M75/(1+$B$5)</f>
        <v>9640.6660823838738</v>
      </c>
      <c r="N78" s="81" t="s">
        <v>75</v>
      </c>
      <c r="O78" s="81"/>
      <c r="P78" s="81"/>
      <c r="Q78" s="81"/>
      <c r="R78" s="81"/>
      <c r="S78" s="81"/>
      <c r="T78" s="81"/>
      <c r="U78" s="81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</row>
    <row r="79" spans="1:52" x14ac:dyDescent="0.2">
      <c r="A79" s="82" t="s">
        <v>119</v>
      </c>
      <c r="B79" s="82">
        <f>$B$6*B80</f>
        <v>1032.9285088268434</v>
      </c>
      <c r="C79" s="82">
        <f>$B$6*C80</f>
        <v>1032.9285088268434</v>
      </c>
      <c r="D79" s="82">
        <f>$B$6*D80</f>
        <v>1032.9285088268434</v>
      </c>
      <c r="E79" s="82">
        <f>$B$6*E80</f>
        <v>1220.733692249906</v>
      </c>
      <c r="F79" s="82">
        <f>$B$6*F80</f>
        <v>1220.733692249906</v>
      </c>
      <c r="G79" s="82">
        <f>$B$6*G80</f>
        <v>0</v>
      </c>
      <c r="H79" s="82">
        <f>$B$6*H80</f>
        <v>1032.9285088268434</v>
      </c>
      <c r="I79" s="82">
        <f>$B$6*I80</f>
        <v>1032.9285088268434</v>
      </c>
      <c r="J79" s="82">
        <f>$B$6*J80</f>
        <v>1032.9285088268434</v>
      </c>
      <c r="K79" s="82">
        <f>$B$6*K80</f>
        <v>1032.9285088268434</v>
      </c>
      <c r="L79" s="82">
        <f>$B$6*L80</f>
        <v>1032.9285088268434</v>
      </c>
      <c r="M79" s="82">
        <f>$B$6*M80</f>
        <v>1032.9285088268434</v>
      </c>
      <c r="N79" s="81">
        <f>SUM(B79:M79)</f>
        <v>11737.823963941406</v>
      </c>
      <c r="O79" s="81"/>
      <c r="P79" s="81"/>
      <c r="Q79" s="81"/>
      <c r="R79" s="81"/>
      <c r="S79" s="81"/>
      <c r="T79" s="81"/>
      <c r="U79" s="81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</row>
    <row r="80" spans="1:52" x14ac:dyDescent="0.2">
      <c r="A80" s="82" t="s">
        <v>357</v>
      </c>
      <c r="B80" s="82">
        <f>B78/(1+$B$6)</f>
        <v>8607.7375735570295</v>
      </c>
      <c r="C80" s="82">
        <f>C78/(1+$B$6)</f>
        <v>8607.7375735570295</v>
      </c>
      <c r="D80" s="82">
        <f>D78/(1+$B$6)</f>
        <v>8607.7375735570295</v>
      </c>
      <c r="E80" s="82">
        <f>E78/(1+$B$6)</f>
        <v>10172.780768749217</v>
      </c>
      <c r="F80" s="82">
        <f>F78/(1+$B$6)</f>
        <v>10172.780768749217</v>
      </c>
      <c r="G80" s="82">
        <f>G78/(1+$B$6)</f>
        <v>0</v>
      </c>
      <c r="H80" s="82">
        <f>H78/(1+$B$6)</f>
        <v>8607.7375735570295</v>
      </c>
      <c r="I80" s="82">
        <f>I78/(1+$B$6)</f>
        <v>8607.7375735570295</v>
      </c>
      <c r="J80" s="82">
        <f>J78/(1+$B$6)</f>
        <v>8607.7375735570295</v>
      </c>
      <c r="K80" s="82">
        <f>K78/(1+$B$6)</f>
        <v>8607.7375735570295</v>
      </c>
      <c r="L80" s="82">
        <f>L78/(1+$B$6)</f>
        <v>8607.7375735570295</v>
      </c>
      <c r="M80" s="82">
        <f>M78/(1+$B$6)</f>
        <v>8607.7375735570295</v>
      </c>
      <c r="N80" s="81"/>
      <c r="O80" s="81"/>
      <c r="P80" s="81"/>
      <c r="Q80" s="81"/>
      <c r="R80" s="81"/>
      <c r="S80" s="81"/>
      <c r="T80" s="81"/>
      <c r="U80" s="81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</row>
    <row r="81" spans="1:52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1"/>
      <c r="O81" s="81"/>
      <c r="P81" s="81"/>
      <c r="Q81" s="81"/>
      <c r="R81" s="81"/>
      <c r="S81" s="81"/>
      <c r="T81" s="81"/>
      <c r="U81" s="81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</row>
    <row r="82" spans="1:52" x14ac:dyDescent="0.2">
      <c r="A82" s="82" t="s">
        <v>356</v>
      </c>
      <c r="B82" s="82">
        <f>G25</f>
        <v>1862.625</v>
      </c>
      <c r="C82" s="82"/>
      <c r="D82" s="82">
        <f>B77+C77</f>
        <v>2427.3819957430819</v>
      </c>
      <c r="E82" s="82"/>
      <c r="F82" s="82">
        <f>D77+E77</f>
        <v>2648.0530862651804</v>
      </c>
      <c r="G82" s="82"/>
      <c r="H82" s="82">
        <f>F77+G77+G23</f>
        <v>2544.7370883936392</v>
      </c>
      <c r="I82" s="82"/>
      <c r="J82" s="82">
        <f>H77+I77</f>
        <v>2427.3819957430819</v>
      </c>
      <c r="K82" s="82"/>
      <c r="L82" s="82">
        <f>J77+K77</f>
        <v>2427.3819957430819</v>
      </c>
      <c r="M82" s="82"/>
      <c r="N82" s="82">
        <f>L77+M77+SUM(B76:M76)</f>
        <v>4082.41517465882</v>
      </c>
      <c r="O82" s="81"/>
      <c r="P82" s="81"/>
      <c r="Q82" s="81"/>
      <c r="R82" s="81"/>
      <c r="S82" s="81"/>
      <c r="T82" s="81"/>
      <c r="U82" s="81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</row>
    <row r="83" spans="1:52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1"/>
      <c r="O83" s="81"/>
      <c r="P83" s="81"/>
      <c r="Q83" s="81"/>
      <c r="R83" s="81"/>
      <c r="S83" s="81"/>
      <c r="T83" s="81"/>
      <c r="U83" s="81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</row>
    <row r="84" spans="1:52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1"/>
      <c r="O84" s="81"/>
      <c r="P84" s="81"/>
      <c r="Q84" s="81"/>
      <c r="R84" s="81"/>
      <c r="S84" s="81"/>
      <c r="T84" s="81"/>
      <c r="U84" s="81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</row>
    <row r="85" spans="1:52" x14ac:dyDescent="0.2">
      <c r="A85" s="86" t="s">
        <v>355</v>
      </c>
      <c r="B85" s="86" t="s">
        <v>287</v>
      </c>
      <c r="C85" s="86" t="s">
        <v>286</v>
      </c>
      <c r="D85" s="86" t="s">
        <v>285</v>
      </c>
      <c r="E85" s="86" t="s">
        <v>348</v>
      </c>
      <c r="F85" s="86" t="s">
        <v>347</v>
      </c>
      <c r="G85" s="86" t="s">
        <v>346</v>
      </c>
      <c r="H85" s="86" t="s">
        <v>345</v>
      </c>
      <c r="I85" s="86" t="s">
        <v>344</v>
      </c>
      <c r="J85" s="86" t="s">
        <v>343</v>
      </c>
      <c r="K85" s="86" t="s">
        <v>342</v>
      </c>
      <c r="L85" s="86" t="s">
        <v>341</v>
      </c>
      <c r="M85" s="86" t="s">
        <v>340</v>
      </c>
      <c r="N85" s="86" t="s">
        <v>339</v>
      </c>
      <c r="O85" s="81"/>
      <c r="P85" s="81"/>
      <c r="Q85" s="81"/>
      <c r="R85" s="81"/>
      <c r="S85" s="81"/>
      <c r="T85" s="81"/>
      <c r="U85" s="81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</row>
    <row r="86" spans="1:52" x14ac:dyDescent="0.2">
      <c r="A86" s="81" t="s">
        <v>354</v>
      </c>
      <c r="B86" s="101">
        <f>$B$4*B62</f>
        <v>9600</v>
      </c>
      <c r="C86" s="101">
        <f>$B$4*C62</f>
        <v>9600</v>
      </c>
      <c r="D86" s="101">
        <f>$B$4*D62</f>
        <v>9600</v>
      </c>
      <c r="E86" s="101">
        <f>$B$4*E62</f>
        <v>11200</v>
      </c>
      <c r="F86" s="101">
        <f>$B$4*F62</f>
        <v>11200</v>
      </c>
      <c r="G86" s="101">
        <f>$B$4*G62</f>
        <v>11200</v>
      </c>
      <c r="H86" s="101">
        <f>$B$4*H62</f>
        <v>8000</v>
      </c>
      <c r="I86" s="101">
        <f>$B$4*I62</f>
        <v>8000</v>
      </c>
      <c r="J86" s="101">
        <f>$B$4*J62</f>
        <v>8000</v>
      </c>
      <c r="K86" s="101">
        <f>$B$4*K62</f>
        <v>8960</v>
      </c>
      <c r="L86" s="101">
        <f>$B$4*L62</f>
        <v>8960</v>
      </c>
      <c r="M86" s="101">
        <f>$B$4*M62</f>
        <v>8960</v>
      </c>
      <c r="N86" s="81"/>
      <c r="O86" s="81"/>
      <c r="P86" s="81"/>
      <c r="Q86" s="81"/>
      <c r="R86" s="81"/>
      <c r="S86" s="81"/>
      <c r="T86" s="81"/>
      <c r="U86" s="81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</row>
    <row r="87" spans="1:52" x14ac:dyDescent="0.2">
      <c r="A87" s="81" t="s">
        <v>353</v>
      </c>
      <c r="B87" s="103">
        <f>$B$4*B53</f>
        <v>6332.5</v>
      </c>
      <c r="C87" s="103">
        <f>$B$4*C53</f>
        <v>6375</v>
      </c>
      <c r="D87" s="103">
        <f>$B$4*D53</f>
        <v>6375</v>
      </c>
      <c r="E87" s="103">
        <f>$B$4*E53</f>
        <v>7437.5</v>
      </c>
      <c r="F87" s="103">
        <f>$B$4*F53</f>
        <v>7437.5</v>
      </c>
      <c r="G87" s="103">
        <f>$B$4*G53</f>
        <v>7437.5</v>
      </c>
      <c r="H87" s="103">
        <f>$B$4*H53</f>
        <v>5312.5</v>
      </c>
      <c r="I87" s="103">
        <f>$B$4*I53</f>
        <v>5312.5</v>
      </c>
      <c r="J87" s="103">
        <f>$B$4*J53</f>
        <v>5312.5</v>
      </c>
      <c r="K87" s="103">
        <f>$B$4*K53</f>
        <v>5950</v>
      </c>
      <c r="L87" s="103">
        <f>$B$4*L53</f>
        <v>5950</v>
      </c>
      <c r="M87" s="103">
        <f>$B$4*M53</f>
        <v>5950</v>
      </c>
      <c r="N87" s="81"/>
      <c r="O87" s="81"/>
      <c r="P87" s="81"/>
      <c r="Q87" s="81"/>
      <c r="R87" s="81"/>
      <c r="S87" s="81"/>
      <c r="T87" s="81"/>
      <c r="U87" s="81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</row>
    <row r="88" spans="1:52" x14ac:dyDescent="0.2">
      <c r="A88" s="86" t="s">
        <v>352</v>
      </c>
      <c r="B88" s="102">
        <f>$B$4*B65</f>
        <v>200</v>
      </c>
      <c r="C88" s="102">
        <f>$B$4*C65</f>
        <v>200</v>
      </c>
      <c r="D88" s="102">
        <f>$B$4*D65</f>
        <v>200</v>
      </c>
      <c r="E88" s="102">
        <f>$B$4*E65</f>
        <v>200</v>
      </c>
      <c r="F88" s="102">
        <f>$B$4*F65</f>
        <v>200</v>
      </c>
      <c r="G88" s="102">
        <f>$B$4*G65</f>
        <v>200</v>
      </c>
      <c r="H88" s="102">
        <f>$B$4*H65</f>
        <v>200</v>
      </c>
      <c r="I88" s="102">
        <f>$B$4*I65</f>
        <v>200</v>
      </c>
      <c r="J88" s="102">
        <f>$B$4*J65</f>
        <v>200</v>
      </c>
      <c r="K88" s="102">
        <f>$B$4*K65</f>
        <v>200</v>
      </c>
      <c r="L88" s="102">
        <f>$B$4*L65</f>
        <v>200</v>
      </c>
      <c r="M88" s="102">
        <f>$B$4*M65</f>
        <v>200</v>
      </c>
      <c r="N88" s="81"/>
      <c r="O88" s="81"/>
      <c r="P88" s="81"/>
      <c r="Q88" s="81"/>
      <c r="R88" s="81"/>
      <c r="S88" s="81"/>
      <c r="T88" s="81"/>
      <c r="U88" s="81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</row>
    <row r="89" spans="1:52" x14ac:dyDescent="0.2">
      <c r="A89" s="82" t="s">
        <v>351</v>
      </c>
      <c r="B89" s="82">
        <f>B86-B87-B88</f>
        <v>3067.5</v>
      </c>
      <c r="C89" s="82">
        <f>C86-C87-C88</f>
        <v>3025</v>
      </c>
      <c r="D89" s="82">
        <f>D86-D87-D88</f>
        <v>3025</v>
      </c>
      <c r="E89" s="82">
        <f>E86-E87-E88</f>
        <v>3562.5</v>
      </c>
      <c r="F89" s="82">
        <f>F86-F87-F88</f>
        <v>3562.5</v>
      </c>
      <c r="G89" s="82">
        <f>G86-G87-G88</f>
        <v>3562.5</v>
      </c>
      <c r="H89" s="82">
        <f>H86-H87-H88</f>
        <v>2487.5</v>
      </c>
      <c r="I89" s="82">
        <f>I86-I87-I88</f>
        <v>2487.5</v>
      </c>
      <c r="J89" s="82">
        <f>J86-J87-J88</f>
        <v>2487.5</v>
      </c>
      <c r="K89" s="82">
        <f>K86-K87-K88</f>
        <v>2810</v>
      </c>
      <c r="L89" s="82">
        <f>L86-L87-L88</f>
        <v>2810</v>
      </c>
      <c r="M89" s="82">
        <f>M86-M87-M88</f>
        <v>2810</v>
      </c>
      <c r="N89" s="81"/>
      <c r="O89" s="81"/>
      <c r="P89" s="81"/>
      <c r="Q89" s="81"/>
      <c r="R89" s="81"/>
      <c r="S89" s="81"/>
      <c r="T89" s="81"/>
      <c r="U89" s="81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</row>
    <row r="90" spans="1:52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1"/>
      <c r="O90" s="81"/>
      <c r="P90" s="81"/>
      <c r="Q90" s="81"/>
      <c r="R90" s="81"/>
      <c r="S90" s="81"/>
      <c r="T90" s="81"/>
      <c r="U90" s="81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</row>
    <row r="91" spans="1:52" x14ac:dyDescent="0.2">
      <c r="A91" s="82" t="s">
        <v>350</v>
      </c>
      <c r="B91" s="82"/>
      <c r="C91" s="82">
        <f>G13</f>
        <v>1980</v>
      </c>
      <c r="D91" s="82"/>
      <c r="E91" s="82">
        <f>B89+C89</f>
        <v>6092.5</v>
      </c>
      <c r="F91" s="82"/>
      <c r="G91" s="82">
        <f>D89+E89</f>
        <v>6587.5</v>
      </c>
      <c r="H91" s="82"/>
      <c r="I91" s="82">
        <f>F89+G89</f>
        <v>7125</v>
      </c>
      <c r="J91" s="82"/>
      <c r="K91" s="82">
        <f>H89+I89</f>
        <v>4975</v>
      </c>
      <c r="L91" s="82"/>
      <c r="M91" s="82">
        <f>J89+K89</f>
        <v>5297.5</v>
      </c>
      <c r="N91" s="81">
        <f>L89+M89</f>
        <v>5620</v>
      </c>
      <c r="O91" s="81"/>
      <c r="P91" s="81"/>
      <c r="Q91" s="81"/>
      <c r="R91" s="81"/>
      <c r="S91" s="81"/>
      <c r="T91" s="81"/>
      <c r="U91" s="81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</row>
    <row r="92" spans="1:52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1"/>
      <c r="O92" s="81"/>
      <c r="P92" s="81"/>
      <c r="Q92" s="81"/>
      <c r="R92" s="81"/>
      <c r="S92" s="81"/>
      <c r="T92" s="81"/>
      <c r="U92" s="81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</row>
    <row r="93" spans="1:52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1"/>
      <c r="O93" s="81"/>
      <c r="P93" s="81"/>
      <c r="Q93" s="81"/>
      <c r="R93" s="81"/>
      <c r="S93" s="81"/>
      <c r="T93" s="81"/>
      <c r="U93" s="81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</row>
    <row r="94" spans="1:52" x14ac:dyDescent="0.2">
      <c r="A94" s="92" t="s">
        <v>349</v>
      </c>
      <c r="B94" s="86" t="s">
        <v>287</v>
      </c>
      <c r="C94" s="86" t="s">
        <v>286</v>
      </c>
      <c r="D94" s="86" t="s">
        <v>285</v>
      </c>
      <c r="E94" s="86" t="s">
        <v>348</v>
      </c>
      <c r="F94" s="86" t="s">
        <v>347</v>
      </c>
      <c r="G94" s="86" t="s">
        <v>346</v>
      </c>
      <c r="H94" s="86" t="s">
        <v>345</v>
      </c>
      <c r="I94" s="86" t="s">
        <v>344</v>
      </c>
      <c r="J94" s="86" t="s">
        <v>343</v>
      </c>
      <c r="K94" s="86" t="s">
        <v>342</v>
      </c>
      <c r="L94" s="86" t="s">
        <v>341</v>
      </c>
      <c r="M94" s="86" t="s">
        <v>340</v>
      </c>
      <c r="N94" s="86" t="s">
        <v>339</v>
      </c>
      <c r="O94" s="81"/>
      <c r="P94" s="81"/>
      <c r="Q94" s="81"/>
      <c r="R94" s="81"/>
      <c r="S94" s="81"/>
      <c r="T94" s="81"/>
      <c r="U94" s="81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</row>
    <row r="95" spans="1:52" x14ac:dyDescent="0.2">
      <c r="A95" s="97" t="s">
        <v>200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81"/>
      <c r="O95" s="81"/>
      <c r="P95" s="81"/>
      <c r="Q95" s="81"/>
      <c r="R95" s="81"/>
      <c r="S95" s="81"/>
      <c r="T95" s="81"/>
      <c r="U95" s="81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</row>
    <row r="96" spans="1:52" x14ac:dyDescent="0.2">
      <c r="A96" s="86" t="s">
        <v>338</v>
      </c>
      <c r="B96" s="86">
        <f>E9</f>
        <v>15387</v>
      </c>
      <c r="C96" s="86">
        <f>C49</f>
        <v>35200</v>
      </c>
      <c r="D96" s="86">
        <f>D49</f>
        <v>48000</v>
      </c>
      <c r="E96" s="86">
        <f>E49</f>
        <v>48000</v>
      </c>
      <c r="F96" s="86">
        <f>F49</f>
        <v>56000</v>
      </c>
      <c r="G96" s="86">
        <f>G49</f>
        <v>56000</v>
      </c>
      <c r="H96" s="86">
        <f>H49</f>
        <v>56000</v>
      </c>
      <c r="I96" s="86">
        <f>I49</f>
        <v>40000</v>
      </c>
      <c r="J96" s="86">
        <f>J49</f>
        <v>40000</v>
      </c>
      <c r="K96" s="86">
        <f>K49</f>
        <v>40000</v>
      </c>
      <c r="L96" s="86">
        <f>L49</f>
        <v>44800</v>
      </c>
      <c r="M96" s="86">
        <f>M49</f>
        <v>44800</v>
      </c>
      <c r="N96" s="86">
        <f>N49</f>
        <v>57600</v>
      </c>
      <c r="O96" s="81"/>
      <c r="P96" s="81"/>
      <c r="Q96" s="81"/>
      <c r="R96" s="81"/>
      <c r="S96" s="81"/>
      <c r="T96" s="81"/>
      <c r="U96" s="81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</row>
    <row r="97" spans="1:52" x14ac:dyDescent="0.2">
      <c r="A97" s="95" t="s">
        <v>132</v>
      </c>
      <c r="B97" s="95">
        <f>B96</f>
        <v>15387</v>
      </c>
      <c r="C97" s="95">
        <f>C96</f>
        <v>35200</v>
      </c>
      <c r="D97" s="95">
        <f>D96</f>
        <v>48000</v>
      </c>
      <c r="E97" s="95">
        <f>E96</f>
        <v>48000</v>
      </c>
      <c r="F97" s="95">
        <f>F96</f>
        <v>56000</v>
      </c>
      <c r="G97" s="95">
        <f>G96</f>
        <v>56000</v>
      </c>
      <c r="H97" s="95">
        <f>H96</f>
        <v>56000</v>
      </c>
      <c r="I97" s="95">
        <f>I96</f>
        <v>40000</v>
      </c>
      <c r="J97" s="95">
        <f>J96</f>
        <v>40000</v>
      </c>
      <c r="K97" s="95">
        <f>K96</f>
        <v>40000</v>
      </c>
      <c r="L97" s="95">
        <f>L96</f>
        <v>44800</v>
      </c>
      <c r="M97" s="95">
        <f>M96</f>
        <v>44800</v>
      </c>
      <c r="N97" s="81"/>
      <c r="O97" s="81"/>
      <c r="P97" s="81"/>
      <c r="Q97" s="81"/>
      <c r="R97" s="81"/>
      <c r="S97" s="81"/>
      <c r="T97" s="81"/>
      <c r="U97" s="81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</row>
    <row r="98" spans="1:52" x14ac:dyDescent="0.2">
      <c r="A98" s="97" t="s">
        <v>209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1"/>
      <c r="O98" s="81"/>
      <c r="P98" s="81"/>
      <c r="Q98" s="81"/>
      <c r="R98" s="81"/>
      <c r="S98" s="81"/>
      <c r="T98" s="81"/>
      <c r="U98" s="81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</row>
    <row r="99" spans="1:52" x14ac:dyDescent="0.2">
      <c r="A99" s="81" t="s">
        <v>337</v>
      </c>
      <c r="B99" s="82">
        <f>B58</f>
        <v>4648.666666666667</v>
      </c>
      <c r="C99" s="82">
        <f>C58</f>
        <v>18155.583333333332</v>
      </c>
      <c r="D99" s="82">
        <f>D58</f>
        <v>31768.75</v>
      </c>
      <c r="E99" s="82">
        <f>E58</f>
        <v>31875</v>
      </c>
      <c r="F99" s="82">
        <f>F58</f>
        <v>34531.25</v>
      </c>
      <c r="G99" s="82">
        <f>G58</f>
        <v>37187.5</v>
      </c>
      <c r="H99" s="82">
        <f>H58</f>
        <v>37187.5</v>
      </c>
      <c r="I99" s="82">
        <f>I58</f>
        <v>31875</v>
      </c>
      <c r="J99" s="82">
        <f>J58</f>
        <v>26562.5</v>
      </c>
      <c r="K99" s="82">
        <f>K58</f>
        <v>26562.5</v>
      </c>
      <c r="L99" s="82">
        <f>L58</f>
        <v>28156.25</v>
      </c>
      <c r="M99" s="82">
        <f>M58</f>
        <v>29750</v>
      </c>
      <c r="N99" s="82">
        <f>N58</f>
        <v>44625</v>
      </c>
      <c r="O99" s="81"/>
      <c r="P99" s="81"/>
      <c r="Q99" s="81"/>
      <c r="R99" s="81"/>
      <c r="S99" s="81"/>
      <c r="T99" s="81"/>
      <c r="U99" s="81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</row>
    <row r="100" spans="1:52" x14ac:dyDescent="0.2">
      <c r="A100" s="81" t="s">
        <v>213</v>
      </c>
      <c r="B100" s="82">
        <f>B65*(1+$B$4)</f>
        <v>1000</v>
      </c>
      <c r="C100" s="82">
        <f>C65*(1+$B$4)</f>
        <v>1000</v>
      </c>
      <c r="D100" s="82">
        <f>D65*(1+$B$4)</f>
        <v>1000</v>
      </c>
      <c r="E100" s="82">
        <f>E65*(1+$B$4)</f>
        <v>1000</v>
      </c>
      <c r="F100" s="82">
        <f>F65*(1+$B$4)</f>
        <v>1000</v>
      </c>
      <c r="G100" s="82">
        <f>G65*(1+$B$4)</f>
        <v>1000</v>
      </c>
      <c r="H100" s="82">
        <f>H65*(1+$B$4)</f>
        <v>1000</v>
      </c>
      <c r="I100" s="82">
        <f>I65*(1+$B$4)</f>
        <v>1000</v>
      </c>
      <c r="J100" s="82">
        <f>J65*(1+$B$4)</f>
        <v>1000</v>
      </c>
      <c r="K100" s="82">
        <f>K65*(1+$B$4)</f>
        <v>1000</v>
      </c>
      <c r="L100" s="82">
        <f>L65*(1+$B$4)</f>
        <v>1000</v>
      </c>
      <c r="M100" s="82">
        <f>M65*(1+$B$4)</f>
        <v>1000</v>
      </c>
      <c r="N100" s="81"/>
      <c r="O100" s="81"/>
      <c r="P100" s="81"/>
      <c r="Q100" s="81"/>
      <c r="R100" s="81"/>
      <c r="S100" s="81"/>
      <c r="T100" s="81"/>
      <c r="U100" s="81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</row>
    <row r="101" spans="1:52" x14ac:dyDescent="0.2">
      <c r="A101" s="81" t="s">
        <v>137</v>
      </c>
      <c r="B101" s="82">
        <f>B80</f>
        <v>8607.7375735570295</v>
      </c>
      <c r="C101" s="82">
        <f>C80</f>
        <v>8607.7375735570295</v>
      </c>
      <c r="D101" s="82">
        <f>D80</f>
        <v>8607.7375735570295</v>
      </c>
      <c r="E101" s="82">
        <f>E80</f>
        <v>10172.780768749217</v>
      </c>
      <c r="F101" s="82">
        <f>F80</f>
        <v>10172.780768749217</v>
      </c>
      <c r="G101" s="82">
        <f>G17</f>
        <v>7875</v>
      </c>
      <c r="H101" s="82">
        <f>H80</f>
        <v>8607.7375735570295</v>
      </c>
      <c r="I101" s="82">
        <f>I80</f>
        <v>8607.7375735570295</v>
      </c>
      <c r="J101" s="82">
        <f>J80</f>
        <v>8607.7375735570295</v>
      </c>
      <c r="K101" s="82">
        <f>K80</f>
        <v>8607.7375735570295</v>
      </c>
      <c r="L101" s="82">
        <f>L80</f>
        <v>8607.7375735570295</v>
      </c>
      <c r="M101" s="82">
        <f>M80</f>
        <v>8607.7375735570295</v>
      </c>
      <c r="N101" s="81"/>
      <c r="O101" s="81"/>
      <c r="P101" s="81"/>
      <c r="Q101" s="81"/>
      <c r="R101" s="81"/>
      <c r="S101" s="81"/>
      <c r="T101" s="81"/>
      <c r="U101" s="81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</row>
    <row r="102" spans="1:52" x14ac:dyDescent="0.2">
      <c r="A102" s="82" t="s">
        <v>336</v>
      </c>
      <c r="B102" s="81">
        <f>B82</f>
        <v>1862.625</v>
      </c>
      <c r="C102" s="81"/>
      <c r="D102" s="81">
        <f>D82</f>
        <v>2427.3819957430819</v>
      </c>
      <c r="E102" s="81"/>
      <c r="F102" s="81">
        <f>F82</f>
        <v>2648.0530862651804</v>
      </c>
      <c r="G102" s="81"/>
      <c r="H102" s="81">
        <f>H82</f>
        <v>2544.7370883936392</v>
      </c>
      <c r="I102" s="81"/>
      <c r="J102" s="81">
        <f>J82</f>
        <v>2427.3819957430819</v>
      </c>
      <c r="K102" s="81"/>
      <c r="L102" s="81">
        <f>L82</f>
        <v>2427.3819957430819</v>
      </c>
      <c r="M102" s="81"/>
      <c r="N102" s="81">
        <f>N82</f>
        <v>4082.41517465882</v>
      </c>
      <c r="O102" s="81"/>
      <c r="P102" s="81"/>
      <c r="Q102" s="81"/>
      <c r="R102" s="81"/>
      <c r="S102" s="81"/>
      <c r="T102" s="81"/>
      <c r="U102" s="81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</row>
    <row r="103" spans="1:52" x14ac:dyDescent="0.2">
      <c r="A103" s="100" t="s">
        <v>335</v>
      </c>
      <c r="B103" s="86"/>
      <c r="C103" s="99">
        <f>C91</f>
        <v>1980</v>
      </c>
      <c r="D103" s="99"/>
      <c r="E103" s="99">
        <f>E91</f>
        <v>6092.5</v>
      </c>
      <c r="F103" s="99"/>
      <c r="G103" s="99">
        <f>G91</f>
        <v>6587.5</v>
      </c>
      <c r="H103" s="99"/>
      <c r="I103" s="99">
        <f>I91</f>
        <v>7125</v>
      </c>
      <c r="J103" s="99"/>
      <c r="K103" s="99">
        <f>K91</f>
        <v>4975</v>
      </c>
      <c r="L103" s="99"/>
      <c r="M103" s="99">
        <f>M91</f>
        <v>5297.5</v>
      </c>
      <c r="N103" s="98">
        <f>N91</f>
        <v>5620</v>
      </c>
      <c r="O103" s="81"/>
      <c r="P103" s="81"/>
      <c r="Q103" s="81"/>
      <c r="R103" s="81"/>
      <c r="S103" s="81"/>
      <c r="T103" s="81"/>
      <c r="U103" s="81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</row>
    <row r="104" spans="1:52" x14ac:dyDescent="0.2">
      <c r="A104" s="86" t="s">
        <v>145</v>
      </c>
      <c r="B104" s="95">
        <f>SUM(B99:B103)</f>
        <v>16119.029240223696</v>
      </c>
      <c r="C104" s="95">
        <f>SUM(C99:C103)</f>
        <v>29743.32090689036</v>
      </c>
      <c r="D104" s="95">
        <f>SUM(D99:D103)</f>
        <v>43803.869569300114</v>
      </c>
      <c r="E104" s="95">
        <f>SUM(E99:E103)</f>
        <v>49140.280768749217</v>
      </c>
      <c r="F104" s="95">
        <f>SUM(F99:F103)</f>
        <v>48352.083855014396</v>
      </c>
      <c r="G104" s="95">
        <f>SUM(G99:G103)</f>
        <v>52650</v>
      </c>
      <c r="H104" s="95">
        <f>SUM(H99:H103)</f>
        <v>49339.97466195067</v>
      </c>
      <c r="I104" s="95">
        <f>SUM(I99:I103)</f>
        <v>48607.737573557031</v>
      </c>
      <c r="J104" s="95">
        <f>SUM(J99:J103)</f>
        <v>38597.619569300114</v>
      </c>
      <c r="K104" s="95">
        <f>SUM(K99:K103)</f>
        <v>41145.237573557031</v>
      </c>
      <c r="L104" s="95">
        <f>SUM(L99:L103)</f>
        <v>40191.369569300114</v>
      </c>
      <c r="M104" s="95">
        <f>SUM(M99:M103)</f>
        <v>44655.237573557031</v>
      </c>
      <c r="N104" s="81"/>
      <c r="O104" s="81"/>
      <c r="P104" s="81"/>
      <c r="Q104" s="81"/>
      <c r="R104" s="81"/>
      <c r="S104" s="81"/>
      <c r="T104" s="81"/>
      <c r="U104" s="81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</row>
    <row r="105" spans="1:52" x14ac:dyDescent="0.2">
      <c r="A105" s="94" t="s">
        <v>220</v>
      </c>
      <c r="B105" s="94">
        <f>B97-B104</f>
        <v>-732.02924022369552</v>
      </c>
      <c r="C105" s="94">
        <f>C97-C104</f>
        <v>5456.6790931096402</v>
      </c>
      <c r="D105" s="94">
        <f>D97-D104</f>
        <v>4196.1304306998863</v>
      </c>
      <c r="E105" s="94">
        <f>E97-E104</f>
        <v>-1140.2807687492168</v>
      </c>
      <c r="F105" s="94">
        <f>F97-F104</f>
        <v>7647.9161449856038</v>
      </c>
      <c r="G105" s="94">
        <f>G97-G104</f>
        <v>3350</v>
      </c>
      <c r="H105" s="94">
        <f>H97-H104</f>
        <v>6660.0253380493305</v>
      </c>
      <c r="I105" s="94">
        <f>I97-I104</f>
        <v>-8607.7375735570313</v>
      </c>
      <c r="J105" s="94">
        <f>J97-J104</f>
        <v>1402.3804306998863</v>
      </c>
      <c r="K105" s="94">
        <f>K97-K104</f>
        <v>-1145.2375735570313</v>
      </c>
      <c r="L105" s="94">
        <f>L97-L104</f>
        <v>4608.6304306998863</v>
      </c>
      <c r="M105" s="94">
        <f>M97-M104</f>
        <v>144.76242644296872</v>
      </c>
      <c r="N105" s="81"/>
      <c r="O105" s="81"/>
      <c r="P105" s="81"/>
      <c r="Q105" s="81"/>
      <c r="R105" s="81"/>
      <c r="S105" s="81"/>
      <c r="T105" s="81"/>
      <c r="U105" s="81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</row>
    <row r="106" spans="1:52" x14ac:dyDescent="0.2">
      <c r="A106" s="97" t="s">
        <v>148</v>
      </c>
      <c r="B106" s="82"/>
      <c r="C106" s="82"/>
      <c r="D106" s="81"/>
      <c r="H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</row>
    <row r="107" spans="1:52" x14ac:dyDescent="0.2">
      <c r="A107" s="81" t="s">
        <v>223</v>
      </c>
      <c r="B107" s="82"/>
      <c r="C107" s="82"/>
      <c r="D107" s="81"/>
      <c r="H107" s="81"/>
      <c r="I107" s="81">
        <f>$B$29</f>
        <v>9000</v>
      </c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</row>
    <row r="108" spans="1:52" x14ac:dyDescent="0.2">
      <c r="A108" s="82" t="s">
        <v>334</v>
      </c>
      <c r="B108" s="82">
        <f>G15</f>
        <v>360</v>
      </c>
      <c r="C108" s="82"/>
      <c r="D108" s="81"/>
      <c r="H108" s="81">
        <f>SUM(B68:G68)</f>
        <v>600</v>
      </c>
      <c r="I108" s="81"/>
      <c r="J108" s="81"/>
      <c r="K108" s="81"/>
      <c r="L108" s="81"/>
      <c r="M108" s="81"/>
      <c r="N108" s="81">
        <f>SUM(H68:M68)</f>
        <v>600</v>
      </c>
      <c r="O108" s="81"/>
      <c r="P108" s="81"/>
      <c r="Q108" s="81"/>
      <c r="R108" s="81"/>
      <c r="S108" s="81"/>
      <c r="T108" s="81"/>
      <c r="U108" s="81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</row>
    <row r="109" spans="1:52" x14ac:dyDescent="0.2">
      <c r="A109" s="82" t="s">
        <v>333</v>
      </c>
      <c r="B109" s="82"/>
      <c r="C109" s="82"/>
      <c r="D109" s="81"/>
      <c r="F109" s="81">
        <f>G18</f>
        <v>520</v>
      </c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</row>
    <row r="110" spans="1:52" x14ac:dyDescent="0.2">
      <c r="A110" s="82" t="s">
        <v>332</v>
      </c>
      <c r="B110" s="82"/>
      <c r="C110" s="82">
        <f>G14</f>
        <v>3381</v>
      </c>
      <c r="D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</row>
    <row r="111" spans="1:52" x14ac:dyDescent="0.2">
      <c r="A111" s="84" t="s">
        <v>331</v>
      </c>
      <c r="B111" s="86"/>
      <c r="C111" s="86"/>
      <c r="D111" s="86"/>
      <c r="E111" s="96"/>
      <c r="F111" s="96"/>
      <c r="G111" s="96"/>
      <c r="H111" s="86"/>
      <c r="I111" s="86">
        <f>B23</f>
        <v>8760</v>
      </c>
      <c r="J111" s="86"/>
      <c r="K111" s="86"/>
      <c r="L111" s="86"/>
      <c r="M111" s="86"/>
      <c r="N111" s="81"/>
      <c r="O111" s="81"/>
      <c r="P111" s="81"/>
      <c r="Q111" s="81"/>
      <c r="R111" s="81"/>
      <c r="S111" s="81"/>
      <c r="T111" s="81"/>
      <c r="U111" s="81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</row>
    <row r="112" spans="1:52" x14ac:dyDescent="0.2">
      <c r="A112" s="95" t="s">
        <v>226</v>
      </c>
      <c r="B112" s="95">
        <f>SUM(B107:B111)</f>
        <v>360</v>
      </c>
      <c r="C112" s="95">
        <f>SUM(C107:C111)</f>
        <v>3381</v>
      </c>
      <c r="D112" s="95">
        <f>SUM(D107:D111)</f>
        <v>0</v>
      </c>
      <c r="E112" s="95">
        <f>SUM(E107:E111)</f>
        <v>0</v>
      </c>
      <c r="F112" s="95">
        <f>SUM(F107:F111)</f>
        <v>520</v>
      </c>
      <c r="G112" s="95">
        <f>SUM(G107:G111)</f>
        <v>0</v>
      </c>
      <c r="H112" s="95">
        <f>SUM(H107:H111)</f>
        <v>600</v>
      </c>
      <c r="I112" s="95">
        <f>SUM(I107:I111)</f>
        <v>17760</v>
      </c>
      <c r="J112" s="95">
        <f>SUM(J107:J111)</f>
        <v>0</v>
      </c>
      <c r="K112" s="95">
        <f>SUM(K107:K111)</f>
        <v>0</v>
      </c>
      <c r="L112" s="95">
        <f>SUM(L107:L111)</f>
        <v>0</v>
      </c>
      <c r="M112" s="95">
        <f>SUM(M107:M111)</f>
        <v>0</v>
      </c>
      <c r="N112" s="81"/>
      <c r="O112" s="81"/>
      <c r="P112" s="81"/>
      <c r="Q112" s="81"/>
      <c r="R112" s="81"/>
      <c r="S112" s="81"/>
      <c r="T112" s="81"/>
      <c r="U112" s="81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</row>
    <row r="113" spans="1:52" x14ac:dyDescent="0.2">
      <c r="A113" s="94" t="s">
        <v>228</v>
      </c>
      <c r="B113" s="94">
        <f>-B112</f>
        <v>-360</v>
      </c>
      <c r="C113" s="94">
        <f>-C112</f>
        <v>-3381</v>
      </c>
      <c r="D113" s="94">
        <f>-D112</f>
        <v>0</v>
      </c>
      <c r="E113" s="94">
        <f>-E112</f>
        <v>0</v>
      </c>
      <c r="F113" s="94">
        <f>-F112</f>
        <v>-520</v>
      </c>
      <c r="G113" s="94">
        <f>-G112</f>
        <v>0</v>
      </c>
      <c r="H113" s="94">
        <f>-H112</f>
        <v>-600</v>
      </c>
      <c r="I113" s="94">
        <f>-I112</f>
        <v>-17760</v>
      </c>
      <c r="J113" s="94">
        <f>-J112</f>
        <v>0</v>
      </c>
      <c r="K113" s="94">
        <f>-K112</f>
        <v>0</v>
      </c>
      <c r="L113" s="94">
        <f>-L112</f>
        <v>0</v>
      </c>
      <c r="M113" s="94">
        <f>-M112</f>
        <v>0</v>
      </c>
      <c r="N113" s="81"/>
      <c r="O113" s="81"/>
      <c r="P113" s="81"/>
      <c r="Q113" s="81"/>
      <c r="R113" s="81"/>
      <c r="S113" s="81"/>
      <c r="T113" s="81"/>
      <c r="U113" s="81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</row>
    <row r="114" spans="1:52" x14ac:dyDescent="0.2">
      <c r="A114" s="93" t="s">
        <v>229</v>
      </c>
      <c r="B114" s="93">
        <f>B105+B113</f>
        <v>-1092.0292402236955</v>
      </c>
      <c r="C114" s="93">
        <f>C105+C113</f>
        <v>2075.6790931096402</v>
      </c>
      <c r="D114" s="93">
        <f>D105+D113</f>
        <v>4196.1304306998863</v>
      </c>
      <c r="E114" s="93">
        <f>E105+E113</f>
        <v>-1140.2807687492168</v>
      </c>
      <c r="F114" s="93">
        <f>F105+F113</f>
        <v>7127.9161449856038</v>
      </c>
      <c r="G114" s="93">
        <f>G105+G113</f>
        <v>3350</v>
      </c>
      <c r="H114" s="93">
        <f>H105+H113</f>
        <v>6060.0253380493305</v>
      </c>
      <c r="I114" s="93">
        <f>I105+I113</f>
        <v>-26367.737573557031</v>
      </c>
      <c r="J114" s="93">
        <f>J105+J113</f>
        <v>1402.3804306998863</v>
      </c>
      <c r="K114" s="93">
        <f>K105+K113</f>
        <v>-1145.2375735570313</v>
      </c>
      <c r="L114" s="93">
        <f>L105+L113</f>
        <v>4608.6304306998863</v>
      </c>
      <c r="M114" s="93">
        <f>M105+M113</f>
        <v>144.76242644296872</v>
      </c>
      <c r="N114" s="81"/>
      <c r="O114" s="81"/>
      <c r="P114" s="81"/>
      <c r="Q114" s="81"/>
      <c r="R114" s="81"/>
      <c r="S114" s="81"/>
      <c r="T114" s="81"/>
      <c r="U114" s="81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</row>
    <row r="115" spans="1:52" x14ac:dyDescent="0.2">
      <c r="A115" s="83"/>
      <c r="B115" s="84"/>
      <c r="C115" s="82"/>
      <c r="D115" s="82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</row>
    <row r="116" spans="1:52" x14ac:dyDescent="0.2">
      <c r="A116" s="84" t="s">
        <v>330</v>
      </c>
      <c r="B116" s="82">
        <f>G11</f>
        <v>3807</v>
      </c>
      <c r="C116" s="82">
        <f>B117</f>
        <v>4899.0292402236955</v>
      </c>
      <c r="D116" s="82">
        <f>C117</f>
        <v>2823.3501471140553</v>
      </c>
      <c r="E116" s="82">
        <f>D117</f>
        <v>-1372.7802835858311</v>
      </c>
      <c r="F116" s="82">
        <f>E117</f>
        <v>-232.49951483661425</v>
      </c>
      <c r="G116" s="82">
        <f>F117</f>
        <v>-7360.415659822218</v>
      </c>
      <c r="H116" s="82">
        <f>G117</f>
        <v>-10710.415659822218</v>
      </c>
      <c r="I116" s="82">
        <f>H117</f>
        <v>-16770.440997871548</v>
      </c>
      <c r="J116" s="82">
        <f>I117</f>
        <v>9597.2965756854828</v>
      </c>
      <c r="K116" s="82">
        <f>J117</f>
        <v>8194.9161449855965</v>
      </c>
      <c r="L116" s="82">
        <f>K117</f>
        <v>9340.1537185426278</v>
      </c>
      <c r="M116" s="82">
        <f>L117</f>
        <v>4731.5232878427414</v>
      </c>
      <c r="N116" s="81"/>
      <c r="O116" s="81"/>
      <c r="P116" s="81"/>
      <c r="Q116" s="81"/>
      <c r="R116" s="81"/>
      <c r="S116" s="81"/>
      <c r="T116" s="81"/>
      <c r="U116" s="81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</row>
    <row r="117" spans="1:52" x14ac:dyDescent="0.2">
      <c r="A117" s="84" t="s">
        <v>329</v>
      </c>
      <c r="B117" s="82">
        <f>B116-B114</f>
        <v>4899.0292402236955</v>
      </c>
      <c r="C117" s="82">
        <f>C116-C114</f>
        <v>2823.3501471140553</v>
      </c>
      <c r="D117" s="82">
        <f>D116-D114</f>
        <v>-1372.7802835858311</v>
      </c>
      <c r="E117" s="82">
        <f>E116-E114</f>
        <v>-232.49951483661425</v>
      </c>
      <c r="F117" s="82">
        <f>F116-F114</f>
        <v>-7360.415659822218</v>
      </c>
      <c r="G117" s="82">
        <f>G116-G114</f>
        <v>-10710.415659822218</v>
      </c>
      <c r="H117" s="82">
        <f>H116-H114</f>
        <v>-16770.440997871548</v>
      </c>
      <c r="I117" s="82">
        <f>I116-I114</f>
        <v>9597.2965756854828</v>
      </c>
      <c r="J117" s="82">
        <f>J116-J114</f>
        <v>8194.9161449855965</v>
      </c>
      <c r="K117" s="82">
        <f>K116-K114</f>
        <v>9340.1537185426278</v>
      </c>
      <c r="L117" s="82">
        <f>L116-L114</f>
        <v>4731.5232878427414</v>
      </c>
      <c r="M117" s="82">
        <f>M116-M114</f>
        <v>4586.7608613997727</v>
      </c>
      <c r="N117" s="81"/>
      <c r="O117" s="81"/>
      <c r="P117" s="81"/>
      <c r="Q117" s="81"/>
      <c r="R117" s="81"/>
      <c r="S117" s="81"/>
      <c r="T117" s="81"/>
      <c r="U117" s="81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</row>
    <row r="118" spans="1:52" x14ac:dyDescent="0.2">
      <c r="A118" s="83"/>
      <c r="B118" s="84"/>
      <c r="C118" s="82"/>
      <c r="D118" s="82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</row>
    <row r="119" spans="1:52" x14ac:dyDescent="0.2">
      <c r="A119" s="83"/>
      <c r="B119" s="82"/>
      <c r="C119" s="82"/>
      <c r="D119" s="8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</row>
    <row r="120" spans="1:52" x14ac:dyDescent="0.2">
      <c r="A120" s="83"/>
      <c r="B120" s="88"/>
      <c r="C120" s="82"/>
      <c r="D120" s="82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</row>
    <row r="121" spans="1:52" x14ac:dyDescent="0.2">
      <c r="A121" s="83"/>
      <c r="B121" s="82"/>
      <c r="C121" s="82"/>
      <c r="D121" s="83"/>
      <c r="E121" s="83"/>
      <c r="F121" s="83"/>
      <c r="G121" s="83"/>
      <c r="H121" s="82"/>
      <c r="I121" s="82"/>
      <c r="J121" s="82"/>
      <c r="K121" s="82"/>
      <c r="L121" s="82"/>
      <c r="M121" s="82"/>
      <c r="N121" s="81"/>
      <c r="O121" s="81"/>
      <c r="P121" s="81"/>
      <c r="Q121" s="81"/>
      <c r="R121" s="81"/>
      <c r="S121" s="81"/>
      <c r="T121" s="81"/>
      <c r="U121" s="81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</row>
    <row r="122" spans="1:52" x14ac:dyDescent="0.2">
      <c r="A122" s="83"/>
      <c r="B122" s="92" t="s">
        <v>328</v>
      </c>
      <c r="C122" s="86"/>
      <c r="D122" s="86"/>
      <c r="E122" s="86"/>
      <c r="F122" s="83"/>
      <c r="G122" s="83"/>
      <c r="H122" s="82"/>
      <c r="I122" s="82"/>
      <c r="J122" s="82"/>
      <c r="K122" s="82"/>
      <c r="L122" s="82"/>
      <c r="M122" s="82"/>
      <c r="N122" s="81"/>
      <c r="O122" s="81"/>
      <c r="P122" s="81"/>
      <c r="Q122" s="81"/>
      <c r="R122" s="81"/>
      <c r="S122" s="81"/>
      <c r="T122" s="81"/>
      <c r="U122" s="81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</row>
    <row r="123" spans="1:52" x14ac:dyDescent="0.2">
      <c r="A123" s="83"/>
      <c r="B123" s="81" t="s">
        <v>313</v>
      </c>
      <c r="C123" s="81">
        <f>E5+B23-N66</f>
        <v>50800</v>
      </c>
      <c r="D123" s="85" t="s">
        <v>169</v>
      </c>
      <c r="E123" s="81">
        <f>G5</f>
        <v>10000</v>
      </c>
      <c r="F123" s="83"/>
      <c r="G123" s="83"/>
      <c r="H123" s="82"/>
      <c r="I123" s="82"/>
      <c r="J123" s="82"/>
      <c r="K123" s="82"/>
      <c r="L123" s="82"/>
      <c r="M123" s="82"/>
      <c r="N123" s="81"/>
      <c r="O123" s="81"/>
      <c r="P123" s="81"/>
      <c r="Q123" s="81"/>
      <c r="R123" s="81"/>
      <c r="S123" s="81"/>
      <c r="T123" s="81"/>
      <c r="U123" s="81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</row>
    <row r="124" spans="1:52" x14ac:dyDescent="0.2">
      <c r="A124" s="82"/>
      <c r="B124" s="81"/>
      <c r="C124" s="81"/>
      <c r="D124" s="85" t="s">
        <v>87</v>
      </c>
      <c r="E124" s="81">
        <f>G6+N71</f>
        <v>16765.599999999999</v>
      </c>
      <c r="F124" s="82"/>
      <c r="G124" s="82"/>
      <c r="H124" s="82"/>
      <c r="I124" s="82"/>
      <c r="J124" s="82"/>
      <c r="K124" s="82"/>
      <c r="L124" s="82"/>
      <c r="M124" s="82"/>
      <c r="N124" s="81"/>
      <c r="O124" s="81"/>
      <c r="P124" s="81"/>
      <c r="Q124" s="81"/>
      <c r="R124" s="81"/>
      <c r="S124" s="81"/>
      <c r="T124" s="81"/>
      <c r="U124" s="81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</row>
    <row r="125" spans="1:52" x14ac:dyDescent="0.2">
      <c r="A125" s="83"/>
      <c r="B125" s="81"/>
      <c r="C125" s="81"/>
      <c r="D125" s="85"/>
      <c r="E125" s="81"/>
      <c r="F125" s="82"/>
      <c r="G125" s="82"/>
      <c r="H125" s="82"/>
      <c r="I125" s="82"/>
      <c r="J125" s="88"/>
      <c r="K125" s="82"/>
      <c r="L125" s="82"/>
      <c r="M125" s="82"/>
      <c r="N125" s="81"/>
      <c r="O125" s="81"/>
      <c r="P125" s="81"/>
      <c r="Q125" s="81"/>
      <c r="R125" s="81"/>
      <c r="S125" s="81"/>
      <c r="T125" s="81"/>
      <c r="U125" s="81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</row>
    <row r="126" spans="1:52" x14ac:dyDescent="0.2">
      <c r="A126" s="83"/>
      <c r="B126" s="81" t="s">
        <v>89</v>
      </c>
      <c r="C126" s="91">
        <f>N38</f>
        <v>425</v>
      </c>
      <c r="D126" s="80" t="s">
        <v>327</v>
      </c>
      <c r="E126" s="81">
        <f>G8-B29</f>
        <v>10370</v>
      </c>
      <c r="F126" s="82"/>
      <c r="G126" s="82"/>
      <c r="H126" s="82"/>
      <c r="I126" s="82"/>
      <c r="J126" s="82"/>
      <c r="K126" s="82"/>
      <c r="L126" s="82"/>
      <c r="M126" s="82"/>
      <c r="N126" s="81"/>
      <c r="O126" s="81"/>
      <c r="P126" s="81"/>
      <c r="Q126" s="81"/>
      <c r="R126" s="81"/>
      <c r="S126" s="81"/>
      <c r="T126" s="81"/>
      <c r="U126" s="81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</row>
    <row r="127" spans="1:52" x14ac:dyDescent="0.2">
      <c r="A127" s="82"/>
      <c r="B127" s="81" t="s">
        <v>14</v>
      </c>
      <c r="C127" s="81">
        <f>N49</f>
        <v>57600</v>
      </c>
      <c r="D127" s="90"/>
      <c r="E127" s="81"/>
      <c r="F127" s="82"/>
      <c r="G127" s="82"/>
      <c r="H127" s="82"/>
      <c r="I127" s="82"/>
      <c r="J127" s="84"/>
      <c r="K127" s="82"/>
      <c r="L127" s="82"/>
      <c r="M127" s="82"/>
      <c r="N127" s="81"/>
      <c r="O127" s="81"/>
      <c r="P127" s="81"/>
      <c r="Q127" s="81"/>
      <c r="R127" s="81"/>
      <c r="S127" s="81"/>
      <c r="T127" s="81"/>
      <c r="U127" s="81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</row>
    <row r="128" spans="1:52" x14ac:dyDescent="0.2">
      <c r="A128" s="82"/>
      <c r="D128" s="85" t="s">
        <v>326</v>
      </c>
      <c r="E128" s="81">
        <f>M117</f>
        <v>4586.7608613997727</v>
      </c>
      <c r="F128" s="82"/>
      <c r="G128" s="82"/>
      <c r="H128" s="82"/>
      <c r="I128" s="82"/>
      <c r="J128" s="82"/>
      <c r="K128" s="82"/>
      <c r="L128" s="82"/>
      <c r="M128" s="82"/>
      <c r="N128" s="81"/>
      <c r="O128" s="81"/>
      <c r="P128" s="81"/>
      <c r="Q128" s="81"/>
      <c r="R128" s="81"/>
      <c r="S128" s="81"/>
      <c r="T128" s="81"/>
      <c r="U128" s="81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</row>
    <row r="129" spans="1:52" x14ac:dyDescent="0.2">
      <c r="A129" s="82"/>
      <c r="D129" s="85" t="s">
        <v>325</v>
      </c>
      <c r="E129" s="81">
        <f>N58</f>
        <v>44625</v>
      </c>
      <c r="F129" s="82"/>
      <c r="G129" s="82"/>
      <c r="H129" s="82"/>
      <c r="I129" s="82"/>
      <c r="J129" s="82"/>
      <c r="K129" s="82"/>
      <c r="L129" s="82"/>
      <c r="M129" s="82"/>
      <c r="N129" s="81"/>
      <c r="O129" s="81"/>
      <c r="P129" s="81"/>
      <c r="Q129" s="81"/>
      <c r="R129" s="81"/>
      <c r="S129" s="81"/>
      <c r="T129" s="81"/>
      <c r="U129" s="81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</row>
    <row r="130" spans="1:52" x14ac:dyDescent="0.2">
      <c r="A130" s="82"/>
      <c r="B130" s="81"/>
      <c r="C130" s="81"/>
      <c r="D130" s="85" t="s">
        <v>177</v>
      </c>
      <c r="E130" s="81">
        <f>N91</f>
        <v>5620</v>
      </c>
      <c r="F130" s="82"/>
      <c r="G130" s="82"/>
      <c r="H130" s="82"/>
      <c r="I130" s="82"/>
      <c r="J130" s="82"/>
      <c r="K130" s="82"/>
      <c r="L130" s="82"/>
      <c r="M130" s="82"/>
      <c r="N130" s="81"/>
      <c r="O130" s="81"/>
      <c r="P130" s="81"/>
      <c r="Q130" s="81"/>
      <c r="R130" s="81"/>
      <c r="S130" s="81"/>
      <c r="T130" s="81"/>
      <c r="U130" s="81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</row>
    <row r="131" spans="1:52" x14ac:dyDescent="0.2">
      <c r="A131" s="82"/>
      <c r="B131" s="81"/>
      <c r="C131" s="81"/>
      <c r="D131" s="85" t="s">
        <v>324</v>
      </c>
      <c r="E131" s="81">
        <f>N70</f>
        <v>437.40000000000003</v>
      </c>
      <c r="F131" s="82"/>
      <c r="G131" s="82"/>
      <c r="H131" s="82"/>
      <c r="I131" s="82"/>
      <c r="J131" s="84"/>
      <c r="K131" s="84"/>
      <c r="L131" s="82"/>
      <c r="M131" s="82"/>
      <c r="N131" s="81"/>
      <c r="O131" s="81"/>
      <c r="P131" s="81"/>
      <c r="Q131" s="81"/>
      <c r="R131" s="81"/>
      <c r="S131" s="81"/>
      <c r="T131" s="81"/>
      <c r="U131" s="81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</row>
    <row r="132" spans="1:52" x14ac:dyDescent="0.2">
      <c r="A132" s="82"/>
      <c r="B132" s="81"/>
      <c r="C132" s="81"/>
      <c r="D132" s="85" t="s">
        <v>105</v>
      </c>
      <c r="E132" s="81">
        <f>N108</f>
        <v>600</v>
      </c>
      <c r="F132" s="82"/>
      <c r="G132" s="82"/>
      <c r="H132" s="82"/>
      <c r="I132" s="82"/>
      <c r="J132" s="89"/>
      <c r="K132" s="84"/>
      <c r="L132" s="82"/>
      <c r="M132" s="82"/>
      <c r="N132" s="81"/>
      <c r="O132" s="81"/>
      <c r="P132" s="81"/>
      <c r="Q132" s="81"/>
      <c r="R132" s="81"/>
      <c r="S132" s="81"/>
      <c r="T132" s="81"/>
      <c r="U132" s="81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</row>
    <row r="133" spans="1:52" x14ac:dyDescent="0.2">
      <c r="A133" s="82"/>
      <c r="B133" s="81"/>
      <c r="C133" s="81"/>
      <c r="D133" s="85" t="s">
        <v>323</v>
      </c>
      <c r="E133" s="81">
        <f>N82</f>
        <v>4082.41517465882</v>
      </c>
      <c r="F133" s="88"/>
      <c r="G133" s="88"/>
      <c r="H133" s="82"/>
      <c r="I133" s="82"/>
      <c r="J133" s="82"/>
      <c r="K133" s="82"/>
      <c r="L133" s="82"/>
      <c r="M133" s="82"/>
      <c r="N133" s="81"/>
      <c r="O133" s="81"/>
      <c r="P133" s="81"/>
      <c r="Q133" s="81"/>
      <c r="R133" s="81"/>
      <c r="S133" s="81"/>
      <c r="T133" s="81"/>
      <c r="U133" s="81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</row>
    <row r="134" spans="1:52" x14ac:dyDescent="0.2">
      <c r="A134" s="82"/>
      <c r="B134" s="86"/>
      <c r="C134" s="87"/>
      <c r="D134" s="86" t="s">
        <v>322</v>
      </c>
      <c r="E134" s="86">
        <f>N79</f>
        <v>11737.823963941406</v>
      </c>
      <c r="F134" s="82"/>
      <c r="G134" s="82"/>
      <c r="H134" s="82"/>
      <c r="I134" s="82"/>
      <c r="J134" s="82"/>
      <c r="K134" s="82"/>
      <c r="L134" s="82"/>
      <c r="M134" s="82"/>
      <c r="N134" s="81"/>
      <c r="O134" s="81"/>
      <c r="P134" s="81"/>
      <c r="Q134" s="81"/>
      <c r="R134" s="81"/>
      <c r="S134" s="81"/>
      <c r="T134" s="81"/>
      <c r="U134" s="81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</row>
    <row r="135" spans="1:52" x14ac:dyDescent="0.2">
      <c r="A135" s="82"/>
      <c r="B135" s="81"/>
      <c r="C135" s="81">
        <f>SUM(C123:C134)</f>
        <v>108825</v>
      </c>
      <c r="D135" s="85"/>
      <c r="E135" s="81">
        <f>SUM(E123:E134)</f>
        <v>108824.99999999999</v>
      </c>
      <c r="F135" s="82"/>
      <c r="G135" s="82"/>
      <c r="H135" s="82"/>
      <c r="I135" s="82"/>
      <c r="J135" s="82"/>
      <c r="K135" s="82"/>
      <c r="L135" s="82"/>
      <c r="M135" s="82"/>
      <c r="N135" s="81"/>
      <c r="O135" s="81"/>
      <c r="P135" s="81"/>
      <c r="Q135" s="81"/>
      <c r="R135" s="81"/>
      <c r="S135" s="81"/>
      <c r="T135" s="81"/>
      <c r="U135" s="81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</row>
    <row r="136" spans="1:52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4"/>
      <c r="K136" s="82"/>
      <c r="L136" s="83"/>
      <c r="M136" s="82"/>
      <c r="N136" s="81"/>
      <c r="O136" s="81"/>
      <c r="P136" s="81"/>
      <c r="Q136" s="81"/>
      <c r="R136" s="81"/>
      <c r="S136" s="81"/>
      <c r="T136" s="81"/>
      <c r="U136" s="81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</row>
    <row r="137" spans="1:52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3"/>
      <c r="K137" s="83"/>
      <c r="L137" s="83"/>
      <c r="M137" s="82"/>
      <c r="N137" s="81"/>
      <c r="O137" s="81"/>
      <c r="P137" s="81"/>
      <c r="Q137" s="81"/>
      <c r="R137" s="81"/>
      <c r="S137" s="81"/>
      <c r="T137" s="81"/>
      <c r="U137" s="81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</row>
    <row r="138" spans="1:52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1"/>
      <c r="O138" s="81"/>
      <c r="P138" s="81"/>
      <c r="Q138" s="81"/>
      <c r="R138" s="81"/>
      <c r="S138" s="81"/>
      <c r="T138" s="81"/>
      <c r="U138" s="81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</row>
    <row r="139" spans="1:52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1"/>
      <c r="O139" s="81"/>
      <c r="P139" s="81"/>
      <c r="Q139" s="81"/>
      <c r="R139" s="81"/>
      <c r="S139" s="81"/>
      <c r="T139" s="81"/>
      <c r="U139" s="81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</row>
    <row r="140" spans="1:52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1"/>
      <c r="O140" s="81"/>
      <c r="P140" s="81"/>
      <c r="Q140" s="81"/>
      <c r="R140" s="81"/>
      <c r="S140" s="81"/>
      <c r="T140" s="81"/>
      <c r="U140" s="81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</row>
    <row r="141" spans="1:52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1"/>
      <c r="O141" s="81"/>
      <c r="P141" s="81"/>
      <c r="Q141" s="81"/>
      <c r="R141" s="81"/>
      <c r="S141" s="81"/>
      <c r="T141" s="81"/>
      <c r="U141" s="81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</row>
    <row r="142" spans="1:52" x14ac:dyDescent="0.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1"/>
      <c r="O142" s="81"/>
      <c r="P142" s="81"/>
      <c r="Q142" s="81"/>
      <c r="R142" s="81"/>
      <c r="S142" s="81"/>
      <c r="T142" s="81"/>
      <c r="U142" s="81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</row>
    <row r="143" spans="1:52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1"/>
      <c r="O143" s="81"/>
      <c r="P143" s="81"/>
      <c r="Q143" s="81"/>
      <c r="R143" s="81"/>
      <c r="S143" s="81"/>
      <c r="T143" s="81"/>
      <c r="U143" s="81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</row>
    <row r="144" spans="1:52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</row>
    <row r="145" spans="1:52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</row>
    <row r="146" spans="1:52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</row>
    <row r="147" spans="1:52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</row>
    <row r="148" spans="1:52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</row>
    <row r="149" spans="1:52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</row>
    <row r="150" spans="1:52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</row>
    <row r="151" spans="1:52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</row>
    <row r="152" spans="1:52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</row>
    <row r="153" spans="1:52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</row>
    <row r="154" spans="1:52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</row>
    <row r="155" spans="1:52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</row>
    <row r="156" spans="1:52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</row>
    <row r="157" spans="1:52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</row>
    <row r="158" spans="1:52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</row>
    <row r="159" spans="1:52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</row>
    <row r="160" spans="1:52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</row>
    <row r="161" spans="1:52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</row>
    <row r="162" spans="1:52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</row>
    <row r="163" spans="1:52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</row>
    <row r="164" spans="1:52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</row>
    <row r="165" spans="1:52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</row>
    <row r="166" spans="1:52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</row>
    <row r="167" spans="1:52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</row>
    <row r="168" spans="1:52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</row>
    <row r="169" spans="1:52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</row>
    <row r="170" spans="1:52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</row>
    <row r="171" spans="1:52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</row>
    <row r="172" spans="1:52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</row>
    <row r="173" spans="1:52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</row>
    <row r="174" spans="1:52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</row>
    <row r="175" spans="1:52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</row>
    <row r="176" spans="1:52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</row>
    <row r="177" spans="1:52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</row>
    <row r="178" spans="1:52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</row>
    <row r="179" spans="1:52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</row>
    <row r="180" spans="1:52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</row>
    <row r="181" spans="1:52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</row>
    <row r="182" spans="1:52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</row>
    <row r="183" spans="1:52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</row>
    <row r="184" spans="1:52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</row>
    <row r="185" spans="1:52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</row>
    <row r="186" spans="1:52" x14ac:dyDescent="0.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</row>
    <row r="187" spans="1:52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</row>
    <row r="188" spans="1:52" x14ac:dyDescent="0.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</row>
    <row r="189" spans="1:52" x14ac:dyDescent="0.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</row>
    <row r="190" spans="1:52" x14ac:dyDescent="0.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</row>
    <row r="191" spans="1:52" x14ac:dyDescent="0.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</row>
    <row r="192" spans="1:52" x14ac:dyDescent="0.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</row>
    <row r="193" spans="1:52" x14ac:dyDescent="0.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</row>
    <row r="194" spans="1:52" x14ac:dyDescent="0.2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</row>
    <row r="195" spans="1:52" x14ac:dyDescent="0.2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</row>
    <row r="196" spans="1:52" x14ac:dyDescent="0.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</row>
    <row r="197" spans="1:52" x14ac:dyDescent="0.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</row>
    <row r="198" spans="1:52" x14ac:dyDescent="0.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</row>
    <row r="199" spans="1:52" x14ac:dyDescent="0.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</row>
    <row r="200" spans="1:52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</row>
    <row r="201" spans="1:52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</row>
    <row r="202" spans="1:52" x14ac:dyDescent="0.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</row>
    <row r="203" spans="1:52" x14ac:dyDescent="0.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</row>
    <row r="204" spans="1:52" x14ac:dyDescent="0.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</row>
    <row r="205" spans="1:52" x14ac:dyDescent="0.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</row>
    <row r="206" spans="1:52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</row>
    <row r="207" spans="1:52" x14ac:dyDescent="0.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</row>
    <row r="208" spans="1:52" x14ac:dyDescent="0.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</row>
    <row r="209" spans="1:52" x14ac:dyDescent="0.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</row>
    <row r="210" spans="1:52" x14ac:dyDescent="0.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</row>
    <row r="211" spans="1:52" x14ac:dyDescent="0.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</row>
    <row r="212" spans="1:52" x14ac:dyDescent="0.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</row>
    <row r="213" spans="1:52" x14ac:dyDescent="0.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</row>
    <row r="214" spans="1:52" x14ac:dyDescent="0.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</row>
    <row r="215" spans="1:52" x14ac:dyDescent="0.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</row>
    <row r="216" spans="1:52" x14ac:dyDescent="0.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</row>
    <row r="217" spans="1:52" x14ac:dyDescent="0.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</row>
    <row r="218" spans="1:52" x14ac:dyDescent="0.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</row>
    <row r="219" spans="1:52" x14ac:dyDescent="0.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</row>
    <row r="220" spans="1:52" x14ac:dyDescent="0.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</row>
    <row r="221" spans="1:52" x14ac:dyDescent="0.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</row>
    <row r="222" spans="1:52" x14ac:dyDescent="0.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</row>
    <row r="223" spans="1:52" x14ac:dyDescent="0.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</row>
    <row r="224" spans="1:52" x14ac:dyDescent="0.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</row>
    <row r="225" spans="1:52" x14ac:dyDescent="0.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</row>
    <row r="226" spans="1:52" x14ac:dyDescent="0.2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</row>
    <row r="227" spans="1:52" x14ac:dyDescent="0.2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</row>
    <row r="228" spans="1:52" x14ac:dyDescent="0.2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</row>
    <row r="229" spans="1:52" x14ac:dyDescent="0.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</row>
    <row r="230" spans="1:52" x14ac:dyDescent="0.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</row>
    <row r="231" spans="1:52" x14ac:dyDescent="0.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</row>
    <row r="232" spans="1:52" x14ac:dyDescent="0.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</row>
    <row r="233" spans="1:52" x14ac:dyDescent="0.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</row>
    <row r="234" spans="1:52" x14ac:dyDescent="0.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</row>
    <row r="235" spans="1:52" x14ac:dyDescent="0.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</row>
    <row r="236" spans="1:52" x14ac:dyDescent="0.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</row>
    <row r="237" spans="1:52" x14ac:dyDescent="0.2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</row>
    <row r="238" spans="1:52" x14ac:dyDescent="0.2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</row>
    <row r="239" spans="1:52" x14ac:dyDescent="0.2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</row>
    <row r="240" spans="1:52" x14ac:dyDescent="0.2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</row>
    <row r="241" spans="1:52" x14ac:dyDescent="0.2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</row>
    <row r="242" spans="1:52" x14ac:dyDescent="0.2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</row>
    <row r="243" spans="1:52" x14ac:dyDescent="0.2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</row>
    <row r="244" spans="1:52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</row>
    <row r="245" spans="1:52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</row>
    <row r="246" spans="1:52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</row>
    <row r="247" spans="1:52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</row>
    <row r="248" spans="1:52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</row>
    <row r="249" spans="1:52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</row>
    <row r="250" spans="1:52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</row>
    <row r="251" spans="1:52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</row>
    <row r="252" spans="1:52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</row>
    <row r="253" spans="1:52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</row>
    <row r="254" spans="1:52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</row>
    <row r="255" spans="1:52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</row>
    <row r="256" spans="1:52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</row>
    <row r="257" spans="1:52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</row>
    <row r="258" spans="1:52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</row>
    <row r="259" spans="1:52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</row>
    <row r="260" spans="1:52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</row>
    <row r="261" spans="1:52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</row>
    <row r="262" spans="1:52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</row>
    <row r="263" spans="1:52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</row>
    <row r="264" spans="1:52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</row>
    <row r="265" spans="1:52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</row>
    <row r="266" spans="1:52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</row>
    <row r="267" spans="1:52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</row>
    <row r="268" spans="1:52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</row>
    <row r="269" spans="1:52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</row>
    <row r="270" spans="1:52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</row>
    <row r="271" spans="1:52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</row>
    <row r="272" spans="1:52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</row>
    <row r="273" spans="1:52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</row>
    <row r="274" spans="1:52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</row>
    <row r="275" spans="1:52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</row>
    <row r="276" spans="1:52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</row>
    <row r="277" spans="1:52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</row>
    <row r="278" spans="1:52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</row>
    <row r="279" spans="1:52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</row>
    <row r="280" spans="1:52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</row>
    <row r="281" spans="1:52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</row>
    <row r="282" spans="1:52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</row>
    <row r="283" spans="1:52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</row>
    <row r="284" spans="1:52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</row>
    <row r="285" spans="1:52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</row>
    <row r="286" spans="1:52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</row>
    <row r="287" spans="1:52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</row>
    <row r="288" spans="1:52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</row>
    <row r="289" spans="1:52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</row>
    <row r="290" spans="1:52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</row>
    <row r="291" spans="1:52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</row>
    <row r="292" spans="1:52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</row>
    <row r="293" spans="1:52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</row>
    <row r="294" spans="1:52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17.12</vt:lpstr>
      <vt:lpstr>17.15</vt:lpstr>
      <vt:lpstr>17.16</vt:lpstr>
      <vt:lpstr>17.17</vt:lpstr>
      <vt:lpstr>17.18</vt:lpstr>
      <vt:lpstr>17.19</vt:lpstr>
    </vt:vector>
  </TitlesOfParts>
  <Company>Høgskolen i Nord-Trøndelag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Helbæk Morten</dc:creator>
  <cp:lastModifiedBy>Helbæk Morten</cp:lastModifiedBy>
  <dcterms:created xsi:type="dcterms:W3CDTF">2015-07-19T19:02:31Z</dcterms:created>
  <dcterms:modified xsi:type="dcterms:W3CDTF">2015-07-21T20:32:33Z</dcterms:modified>
</cp:coreProperties>
</file>