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v_DB_Hoff\D&amp;B_arb.bok\Regneark_DB_ArbBok\"/>
    </mc:Choice>
  </mc:AlternateContent>
  <bookViews>
    <workbookView xWindow="0" yWindow="0" windowWidth="12135" windowHeight="9420" firstSheet="3" activeTab="7"/>
  </bookViews>
  <sheets>
    <sheet name="16.11" sheetId="1" r:id="rId1"/>
    <sheet name="16.12" sheetId="2" r:id="rId2"/>
    <sheet name="16.14" sheetId="4" r:id="rId3"/>
    <sheet name="16.16" sheetId="5" r:id="rId4"/>
    <sheet name="16.17" sheetId="6" r:id="rId5"/>
    <sheet name="16.18" sheetId="8" r:id="rId6"/>
    <sheet name="16.19" sheetId="10" r:id="rId7"/>
    <sheet name="16.21" sheetId="11" r:id="rId8"/>
  </sheets>
  <externalReferences>
    <externalReference r:id="rId9"/>
  </externalReferences>
  <definedNames>
    <definedName name="anscount" hidden="1">1</definedName>
    <definedName name="d_1">'[1]Løsn kap 5'!$E$164</definedName>
    <definedName name="d_2">'[1]Løsn kap 5'!$E$165</definedName>
    <definedName name="rente">'[1]Løsn kap 5'!$B$166</definedName>
    <definedName name="S">'[1]Løsn kap 5'!$B$164</definedName>
    <definedName name="sencount" hidden="1">2</definedName>
    <definedName name="sigma">'[1]Løsn kap 5'!$B$167</definedName>
    <definedName name="T">'[1]Løsn kap 5'!$B$168</definedName>
    <definedName name="X">'[1]Løsn kap 5'!$B$165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1" l="1"/>
  <c r="B12" i="11" s="1"/>
  <c r="E15" i="11"/>
  <c r="G15" i="11"/>
  <c r="G32" i="11"/>
  <c r="B33" i="11"/>
  <c r="G33" i="11"/>
  <c r="G34" i="11" s="1"/>
  <c r="C34" i="11"/>
  <c r="B35" i="11"/>
  <c r="B37" i="11"/>
  <c r="C37" i="11"/>
  <c r="B39" i="11"/>
  <c r="G39" i="11"/>
  <c r="G42" i="11" s="1"/>
  <c r="G40" i="11"/>
  <c r="B41" i="11"/>
  <c r="G41" i="11"/>
  <c r="B45" i="11"/>
  <c r="B47" i="11" s="1"/>
  <c r="B46" i="11"/>
  <c r="F47" i="11"/>
  <c r="H47" i="11"/>
  <c r="B48" i="11"/>
  <c r="H48" i="11"/>
  <c r="F50" i="11"/>
  <c r="H50" i="11"/>
  <c r="B51" i="11"/>
  <c r="H53" i="11"/>
  <c r="B57" i="11"/>
  <c r="B60" i="11" s="1"/>
  <c r="F49" i="11" s="1"/>
  <c r="F59" i="11" s="1"/>
  <c r="B58" i="11"/>
  <c r="B59" i="11"/>
  <c r="G36" i="11" l="1"/>
  <c r="B38" i="11" s="1"/>
  <c r="B42" i="11" s="1"/>
  <c r="B43" i="11" s="1"/>
  <c r="B49" i="11" s="1"/>
  <c r="B52" i="11" s="1"/>
  <c r="G35" i="11"/>
  <c r="H57" i="11" s="1"/>
  <c r="B13" i="11"/>
  <c r="H54" i="11" s="1"/>
  <c r="B14" i="11"/>
  <c r="H49" i="11" s="1"/>
  <c r="H55" i="11"/>
  <c r="C40" i="11"/>
  <c r="C39" i="11"/>
  <c r="H56" i="11" s="1"/>
  <c r="C52" i="11" l="1"/>
  <c r="H52" i="11" s="1"/>
  <c r="H59" i="11" s="1"/>
  <c r="B53" i="11"/>
  <c r="D85" i="10" l="1"/>
  <c r="B12" i="10"/>
  <c r="B14" i="10" s="1"/>
  <c r="G18" i="10"/>
  <c r="J18" i="10"/>
  <c r="B21" i="10"/>
  <c r="B36" i="10" s="1"/>
  <c r="B37" i="10" s="1"/>
  <c r="H34" i="10" s="1"/>
  <c r="H35" i="10" s="1"/>
  <c r="H33" i="10"/>
  <c r="B35" i="10"/>
  <c r="B47" i="10" s="1"/>
  <c r="C35" i="10"/>
  <c r="D35" i="10"/>
  <c r="D47" i="10" s="1"/>
  <c r="E35" i="10"/>
  <c r="E47" i="10" s="1"/>
  <c r="C36" i="10"/>
  <c r="C60" i="10" s="1"/>
  <c r="D36" i="10"/>
  <c r="D60" i="10" s="1"/>
  <c r="E36" i="10"/>
  <c r="C47" i="10"/>
  <c r="C48" i="10" s="1"/>
  <c r="C70" i="10" s="1"/>
  <c r="B52" i="10"/>
  <c r="B54" i="10"/>
  <c r="B61" i="10"/>
  <c r="C61" i="10"/>
  <c r="D61" i="10"/>
  <c r="E61" i="10"/>
  <c r="B65" i="10"/>
  <c r="B66" i="10" s="1"/>
  <c r="B94" i="10" s="1"/>
  <c r="B73" i="10"/>
  <c r="C74" i="10"/>
  <c r="B77" i="10"/>
  <c r="B83" i="10" s="1"/>
  <c r="B95" i="10" s="1"/>
  <c r="B96" i="10" s="1"/>
  <c r="C77" i="10"/>
  <c r="B78" i="10"/>
  <c r="C78" i="10"/>
  <c r="C79" i="10"/>
  <c r="C80" i="10"/>
  <c r="B81" i="10"/>
  <c r="C81" i="10"/>
  <c r="D81" i="10"/>
  <c r="E81" i="10"/>
  <c r="B82" i="10"/>
  <c r="C82" i="10"/>
  <c r="D82" i="10"/>
  <c r="E82" i="10"/>
  <c r="E83" i="10"/>
  <c r="E95" i="10" s="1"/>
  <c r="B90" i="10"/>
  <c r="B92" i="10" s="1"/>
  <c r="C97" i="10"/>
  <c r="D100" i="10"/>
  <c r="C101" i="10"/>
  <c r="E101" i="10"/>
  <c r="F101" i="10"/>
  <c r="D102" i="10"/>
  <c r="C103" i="10"/>
  <c r="C104" i="10" s="1"/>
  <c r="E103" i="10"/>
  <c r="E104" i="10" s="1"/>
  <c r="F103" i="10"/>
  <c r="F104" i="10" s="1"/>
  <c r="B108" i="10"/>
  <c r="D83" i="10" l="1"/>
  <c r="D95" i="10" s="1"/>
  <c r="B60" i="10"/>
  <c r="B62" i="10" s="1"/>
  <c r="B63" i="10" s="1"/>
  <c r="B71" i="10" s="1"/>
  <c r="D37" i="10"/>
  <c r="D38" i="10" s="1"/>
  <c r="D59" i="10" s="1"/>
  <c r="D62" i="10" s="1"/>
  <c r="D63" i="10" s="1"/>
  <c r="D71" i="10" s="1"/>
  <c r="B98" i="10"/>
  <c r="B106" i="10" s="1"/>
  <c r="B109" i="10" s="1"/>
  <c r="C108" i="10" s="1"/>
  <c r="C83" i="10"/>
  <c r="C95" i="10" s="1"/>
  <c r="C37" i="10"/>
  <c r="B22" i="10" s="1"/>
  <c r="H38" i="10" s="1"/>
  <c r="B110" i="10"/>
  <c r="E37" i="10"/>
  <c r="E38" i="10" s="1"/>
  <c r="E59" i="10" s="1"/>
  <c r="E60" i="10"/>
  <c r="E48" i="10"/>
  <c r="E70" i="10" s="1"/>
  <c r="E49" i="10"/>
  <c r="F53" i="10" s="1"/>
  <c r="F54" i="10" s="1"/>
  <c r="F91" i="10" s="1"/>
  <c r="F92" i="10" s="1"/>
  <c r="D48" i="10"/>
  <c r="D70" i="10" s="1"/>
  <c r="D49" i="10"/>
  <c r="E53" i="10" s="1"/>
  <c r="E54" i="10" s="1"/>
  <c r="E91" i="10" s="1"/>
  <c r="E92" i="10" s="1"/>
  <c r="D103" i="10"/>
  <c r="D104" i="10" s="1"/>
  <c r="B64" i="10"/>
  <c r="C66" i="10" s="1"/>
  <c r="C94" i="10" s="1"/>
  <c r="C96" i="10" s="1"/>
  <c r="C49" i="10"/>
  <c r="D53" i="10" s="1"/>
  <c r="D54" i="10" s="1"/>
  <c r="D91" i="10" s="1"/>
  <c r="D92" i="10" s="1"/>
  <c r="B48" i="10"/>
  <c r="B70" i="10" s="1"/>
  <c r="B49" i="10"/>
  <c r="C53" i="10" s="1"/>
  <c r="C54" i="10" s="1"/>
  <c r="C91" i="10" s="1"/>
  <c r="C92" i="10" s="1"/>
  <c r="C98" i="10" s="1"/>
  <c r="C106" i="10" s="1"/>
  <c r="H36" i="10"/>
  <c r="H37" i="10" s="1"/>
  <c r="C38" i="10" s="1"/>
  <c r="C59" i="10" s="1"/>
  <c r="C62" i="10" s="1"/>
  <c r="D64" i="10" l="1"/>
  <c r="E66" i="10" s="1"/>
  <c r="E94" i="10" s="1"/>
  <c r="E96" i="10" s="1"/>
  <c r="B72" i="10"/>
  <c r="C109" i="10"/>
  <c r="E62" i="10"/>
  <c r="C63" i="10"/>
  <c r="C71" i="10" s="1"/>
  <c r="C72" i="10" s="1"/>
  <c r="E74" i="10" s="1"/>
  <c r="E97" i="10" s="1"/>
  <c r="E98" i="10" s="1"/>
  <c r="E106" i="10" s="1"/>
  <c r="D72" i="10"/>
  <c r="C64" i="10" l="1"/>
  <c r="D66" i="10" s="1"/>
  <c r="D94" i="10" s="1"/>
  <c r="D96" i="10" s="1"/>
  <c r="D98" i="10" s="1"/>
  <c r="D106" i="10" s="1"/>
  <c r="D108" i="10"/>
  <c r="C110" i="10"/>
  <c r="E63" i="10"/>
  <c r="E71" i="10" s="1"/>
  <c r="E72" i="10" s="1"/>
  <c r="F74" i="10" s="1"/>
  <c r="F97" i="10" s="1"/>
  <c r="D109" i="10" l="1"/>
  <c r="E108" i="10" s="1"/>
  <c r="E109" i="10" s="1"/>
  <c r="E64" i="10"/>
  <c r="F66" i="10" s="1"/>
  <c r="F94" i="10" s="1"/>
  <c r="F96" i="10" s="1"/>
  <c r="F98" i="10" s="1"/>
  <c r="F106" i="10" s="1"/>
  <c r="D110" i="10" l="1"/>
  <c r="F108" i="10"/>
  <c r="E110" i="10"/>
  <c r="D88" i="8" l="1"/>
  <c r="E87" i="8" l="1"/>
  <c r="C87" i="8"/>
  <c r="D87" i="8"/>
  <c r="B87" i="8"/>
  <c r="F87" i="8" s="1"/>
  <c r="B78" i="8"/>
  <c r="B90" i="8" s="1"/>
  <c r="A76" i="8"/>
  <c r="A75" i="8"/>
  <c r="B67" i="8"/>
  <c r="A67" i="8"/>
  <c r="C62" i="8"/>
  <c r="D62" i="8"/>
  <c r="E62" i="8"/>
  <c r="B62" i="8"/>
  <c r="D61" i="8"/>
  <c r="E61" i="8"/>
  <c r="C60" i="8"/>
  <c r="D60" i="8"/>
  <c r="D63" i="8" s="1"/>
  <c r="E60" i="8"/>
  <c r="E63" i="8" s="1"/>
  <c r="B60" i="8"/>
  <c r="D59" i="8"/>
  <c r="E59" i="8"/>
  <c r="C59" i="8"/>
  <c r="B59" i="8"/>
  <c r="B51" i="8"/>
  <c r="A51" i="8"/>
  <c r="C46" i="8"/>
  <c r="D46" i="8"/>
  <c r="D47" i="8" s="1"/>
  <c r="E46" i="8"/>
  <c r="E47" i="8" s="1"/>
  <c r="C45" i="8"/>
  <c r="C47" i="8" s="1"/>
  <c r="C42" i="8"/>
  <c r="C61" i="8" s="1"/>
  <c r="B42" i="8"/>
  <c r="B61" i="8" s="1"/>
  <c r="E54" i="8" l="1"/>
  <c r="D54" i="8"/>
  <c r="D48" i="8"/>
  <c r="D75" i="8" s="1"/>
  <c r="D77" i="8" s="1"/>
  <c r="E78" i="8" s="1"/>
  <c r="E90" i="8" s="1"/>
  <c r="B63" i="8"/>
  <c r="C63" i="8"/>
  <c r="E71" i="8"/>
  <c r="F71" i="8"/>
  <c r="F72" i="8" s="1"/>
  <c r="F86" i="8" s="1"/>
  <c r="E64" i="8"/>
  <c r="E76" i="8" s="1"/>
  <c r="E48" i="8"/>
  <c r="E75" i="8" s="1"/>
  <c r="E77" i="8" s="1"/>
  <c r="F78" i="8" s="1"/>
  <c r="F55" i="8"/>
  <c r="F56" i="8" s="1"/>
  <c r="F82" i="8" s="1"/>
  <c r="C48" i="8"/>
  <c r="C75" i="8" s="1"/>
  <c r="D53" i="8"/>
  <c r="C53" i="8"/>
  <c r="D70" i="8"/>
  <c r="D64" i="8"/>
  <c r="D76" i="8" s="1"/>
  <c r="E70" i="8"/>
  <c r="B45" i="8"/>
  <c r="B47" i="8" s="1"/>
  <c r="C77" i="6"/>
  <c r="D77" i="6"/>
  <c r="E77" i="6"/>
  <c r="F77" i="6"/>
  <c r="G77" i="6"/>
  <c r="B77" i="6"/>
  <c r="E85" i="6"/>
  <c r="B87" i="6"/>
  <c r="B88" i="6" s="1"/>
  <c r="B86" i="6"/>
  <c r="B85" i="6"/>
  <c r="E83" i="6"/>
  <c r="G82" i="6"/>
  <c r="G83" i="6" s="1"/>
  <c r="G84" i="6" s="1"/>
  <c r="G85" i="6" s="1"/>
  <c r="F82" i="6"/>
  <c r="D82" i="6"/>
  <c r="D83" i="6" s="1"/>
  <c r="D84" i="6" s="1"/>
  <c r="D85" i="6" s="1"/>
  <c r="C82" i="6"/>
  <c r="E72" i="8" l="1"/>
  <c r="E86" i="8" s="1"/>
  <c r="E89" i="8" s="1"/>
  <c r="C64" i="8"/>
  <c r="C76" i="8" s="1"/>
  <c r="C77" i="8" s="1"/>
  <c r="D78" i="8" s="1"/>
  <c r="D90" i="8" s="1"/>
  <c r="D69" i="8"/>
  <c r="D72" i="8" s="1"/>
  <c r="D86" i="8" s="1"/>
  <c r="D89" i="8" s="1"/>
  <c r="E56" i="8"/>
  <c r="E83" i="8" s="1"/>
  <c r="E84" i="8" s="1"/>
  <c r="E91" i="8" s="1"/>
  <c r="E95" i="8" s="1"/>
  <c r="B64" i="8"/>
  <c r="B76" i="8" s="1"/>
  <c r="C68" i="8"/>
  <c r="B48" i="8"/>
  <c r="B75" i="8" s="1"/>
  <c r="B77" i="8" s="1"/>
  <c r="C78" i="8" s="1"/>
  <c r="C90" i="8" s="1"/>
  <c r="B52" i="8"/>
  <c r="B56" i="8" s="1"/>
  <c r="B83" i="8" s="1"/>
  <c r="B84" i="8" s="1"/>
  <c r="D56" i="8"/>
  <c r="D83" i="8" s="1"/>
  <c r="D84" i="8" s="1"/>
  <c r="E55" i="8"/>
  <c r="C86" i="6"/>
  <c r="F81" i="6"/>
  <c r="F83" i="6" s="1"/>
  <c r="F84" i="6" s="1"/>
  <c r="F85" i="6" s="1"/>
  <c r="C81" i="6"/>
  <c r="C83" i="6" s="1"/>
  <c r="C84" i="6" s="1"/>
  <c r="C85" i="6" s="1"/>
  <c r="C74" i="6"/>
  <c r="D74" i="6"/>
  <c r="E74" i="6"/>
  <c r="F74" i="6"/>
  <c r="G74" i="6"/>
  <c r="B74" i="6"/>
  <c r="E73" i="6"/>
  <c r="C72" i="6"/>
  <c r="G72" i="6"/>
  <c r="B70" i="6"/>
  <c r="B66" i="6"/>
  <c r="C57" i="6"/>
  <c r="D57" i="6"/>
  <c r="E57" i="6"/>
  <c r="F57" i="6"/>
  <c r="G57" i="6"/>
  <c r="B57" i="6"/>
  <c r="C50" i="6"/>
  <c r="D50" i="6"/>
  <c r="E50" i="6"/>
  <c r="E51" i="6" s="1"/>
  <c r="E58" i="6" s="1"/>
  <c r="E60" i="6" s="1"/>
  <c r="F61" i="6" s="1"/>
  <c r="F76" i="6" s="1"/>
  <c r="F50" i="6"/>
  <c r="F51" i="6" s="1"/>
  <c r="F58" i="6" s="1"/>
  <c r="G50" i="6"/>
  <c r="G51" i="6" s="1"/>
  <c r="G58" i="6" s="1"/>
  <c r="B50" i="6"/>
  <c r="C43" i="6"/>
  <c r="C40" i="6"/>
  <c r="D44" i="6" s="1"/>
  <c r="D40" i="6"/>
  <c r="D43" i="6" s="1"/>
  <c r="D45" i="6" s="1"/>
  <c r="D67" i="6" s="1"/>
  <c r="D68" i="6" s="1"/>
  <c r="E40" i="6"/>
  <c r="E43" i="6" s="1"/>
  <c r="F40" i="6"/>
  <c r="G44" i="6" s="1"/>
  <c r="G40" i="6"/>
  <c r="H44" i="6" s="1"/>
  <c r="H45" i="6" s="1"/>
  <c r="H66" i="6" s="1"/>
  <c r="B40" i="6"/>
  <c r="B43" i="6" s="1"/>
  <c r="B45" i="6" s="1"/>
  <c r="B67" i="6" s="1"/>
  <c r="C11" i="6"/>
  <c r="D11" i="6"/>
  <c r="E11" i="6"/>
  <c r="F11" i="6"/>
  <c r="G11" i="6"/>
  <c r="B11" i="6"/>
  <c r="C10" i="6"/>
  <c r="D10" i="6"/>
  <c r="E10" i="6"/>
  <c r="E72" i="6" s="1"/>
  <c r="F10" i="6"/>
  <c r="F72" i="6" s="1"/>
  <c r="G10" i="6"/>
  <c r="B10" i="6"/>
  <c r="C9" i="6"/>
  <c r="C73" i="6" s="1"/>
  <c r="D9" i="6"/>
  <c r="D59" i="6" s="1"/>
  <c r="E9" i="6"/>
  <c r="E59" i="6" s="1"/>
  <c r="F9" i="6"/>
  <c r="G9" i="6"/>
  <c r="G73" i="6" s="1"/>
  <c r="B9" i="6"/>
  <c r="B59" i="6" s="1"/>
  <c r="H6" i="6"/>
  <c r="H7" i="6"/>
  <c r="H8" i="6"/>
  <c r="H13" i="6"/>
  <c r="H15" i="6"/>
  <c r="H5" i="6"/>
  <c r="B88" i="5"/>
  <c r="C80" i="5"/>
  <c r="D80" i="5"/>
  <c r="B80" i="5"/>
  <c r="B83" i="5"/>
  <c r="E78" i="5"/>
  <c r="C82" i="5"/>
  <c r="D82" i="5"/>
  <c r="B82" i="5"/>
  <c r="B84" i="5" s="1"/>
  <c r="C81" i="5"/>
  <c r="D79" i="5"/>
  <c r="D78" i="5"/>
  <c r="D77" i="5"/>
  <c r="C76" i="5"/>
  <c r="E75" i="5"/>
  <c r="D75" i="5"/>
  <c r="B75" i="5"/>
  <c r="C74" i="5"/>
  <c r="D74" i="5"/>
  <c r="B74" i="5"/>
  <c r="C73" i="5"/>
  <c r="D73" i="5"/>
  <c r="E73" i="5"/>
  <c r="B73" i="5"/>
  <c r="C71" i="5"/>
  <c r="D71" i="5"/>
  <c r="E71" i="5"/>
  <c r="B71" i="5"/>
  <c r="C52" i="5"/>
  <c r="B52" i="5"/>
  <c r="B51" i="5"/>
  <c r="B56" i="5" s="1"/>
  <c r="D46" i="5"/>
  <c r="C46" i="5"/>
  <c r="B46" i="5"/>
  <c r="D45" i="5"/>
  <c r="C45" i="5"/>
  <c r="B45" i="5"/>
  <c r="B30" i="5"/>
  <c r="E29" i="5"/>
  <c r="E30" i="5" s="1"/>
  <c r="D28" i="5"/>
  <c r="D26" i="5"/>
  <c r="D30" i="5" s="1"/>
  <c r="C25" i="5"/>
  <c r="C23" i="5"/>
  <c r="C30" i="5" s="1"/>
  <c r="B22" i="5"/>
  <c r="B20" i="5"/>
  <c r="B87" i="4"/>
  <c r="B80" i="4"/>
  <c r="B78" i="4"/>
  <c r="C52" i="8" l="1"/>
  <c r="C56" i="8" s="1"/>
  <c r="C83" i="8" s="1"/>
  <c r="C84" i="8" s="1"/>
  <c r="C69" i="8"/>
  <c r="B91" i="8"/>
  <c r="B95" i="8" s="1"/>
  <c r="B97" i="8" s="1"/>
  <c r="C72" i="8"/>
  <c r="C86" i="8" s="1"/>
  <c r="C89" i="8" s="1"/>
  <c r="D91" i="8"/>
  <c r="D95" i="8" s="1"/>
  <c r="B68" i="8"/>
  <c r="B72" i="8" s="1"/>
  <c r="B86" i="8" s="1"/>
  <c r="B89" i="8" s="1"/>
  <c r="C87" i="6"/>
  <c r="D86" i="6" s="1"/>
  <c r="D87" i="6" s="1"/>
  <c r="F12" i="6"/>
  <c r="F14" i="6" s="1"/>
  <c r="B68" i="6"/>
  <c r="B12" i="6"/>
  <c r="D12" i="6"/>
  <c r="D14" i="6" s="1"/>
  <c r="B72" i="6"/>
  <c r="D72" i="6"/>
  <c r="F73" i="6"/>
  <c r="B73" i="6"/>
  <c r="D73" i="6"/>
  <c r="B52" i="6"/>
  <c r="B53" i="6" s="1"/>
  <c r="B71" i="6" s="1"/>
  <c r="B75" i="6" s="1"/>
  <c r="D51" i="6"/>
  <c r="D58" i="6" s="1"/>
  <c r="D60" i="6" s="1"/>
  <c r="E61" i="6" s="1"/>
  <c r="E76" i="6" s="1"/>
  <c r="G43" i="6"/>
  <c r="G45" i="6" s="1"/>
  <c r="G67" i="6" s="1"/>
  <c r="G68" i="6" s="1"/>
  <c r="G52" i="6"/>
  <c r="H53" i="6" s="1"/>
  <c r="H71" i="6" s="1"/>
  <c r="C51" i="6"/>
  <c r="C58" i="6" s="1"/>
  <c r="G12" i="6"/>
  <c r="G14" i="6" s="1"/>
  <c r="C12" i="6"/>
  <c r="C14" i="6" s="1"/>
  <c r="E12" i="6"/>
  <c r="E14" i="6" s="1"/>
  <c r="F43" i="6"/>
  <c r="B51" i="6"/>
  <c r="B58" i="6" s="1"/>
  <c r="B60" i="6" s="1"/>
  <c r="C61" i="6" s="1"/>
  <c r="C76" i="6" s="1"/>
  <c r="F44" i="6"/>
  <c r="F52" i="6"/>
  <c r="G59" i="6"/>
  <c r="G60" i="6" s="1"/>
  <c r="H61" i="6" s="1"/>
  <c r="H76" i="6" s="1"/>
  <c r="C59" i="6"/>
  <c r="C44" i="6"/>
  <c r="C45" i="6" s="1"/>
  <c r="C67" i="6" s="1"/>
  <c r="C68" i="6" s="1"/>
  <c r="E44" i="6"/>
  <c r="E45" i="6" s="1"/>
  <c r="E67" i="6" s="1"/>
  <c r="E68" i="6" s="1"/>
  <c r="E52" i="6"/>
  <c r="F59" i="6"/>
  <c r="F60" i="6" s="1"/>
  <c r="G61" i="6" s="1"/>
  <c r="G76" i="6" s="1"/>
  <c r="B14" i="6"/>
  <c r="C83" i="5"/>
  <c r="C84" i="5" s="1"/>
  <c r="B85" i="5"/>
  <c r="D47" i="5"/>
  <c r="E55" i="5" s="1"/>
  <c r="B47" i="5"/>
  <c r="C47" i="5"/>
  <c r="E54" i="5" s="1"/>
  <c r="E56" i="5" s="1"/>
  <c r="D53" i="5"/>
  <c r="D56" i="5" s="1"/>
  <c r="C53" i="5"/>
  <c r="C56" i="5" s="1"/>
  <c r="D54" i="5"/>
  <c r="C61" i="4"/>
  <c r="B61" i="4"/>
  <c r="D59" i="4"/>
  <c r="D56" i="4"/>
  <c r="D74" i="4" s="1"/>
  <c r="D82" i="4" s="1"/>
  <c r="C56" i="4"/>
  <c r="B56" i="4"/>
  <c r="B58" i="4" s="1"/>
  <c r="B31" i="4"/>
  <c r="A31" i="4"/>
  <c r="B30" i="4"/>
  <c r="A30" i="4"/>
  <c r="B28" i="4"/>
  <c r="B27" i="4"/>
  <c r="B25" i="4"/>
  <c r="A25" i="4"/>
  <c r="B24" i="4"/>
  <c r="A24" i="4"/>
  <c r="B23" i="4"/>
  <c r="A23" i="4"/>
  <c r="B22" i="4"/>
  <c r="A22" i="4"/>
  <c r="B21" i="4"/>
  <c r="B26" i="4" s="1"/>
  <c r="B38" i="4" s="1"/>
  <c r="B39" i="4" s="1"/>
  <c r="B40" i="4" s="1"/>
  <c r="C96" i="8" l="1"/>
  <c r="C91" i="8"/>
  <c r="C95" i="8" s="1"/>
  <c r="C97" i="8" s="1"/>
  <c r="D96" i="8" s="1"/>
  <c r="D97" i="8" s="1"/>
  <c r="C88" i="6"/>
  <c r="E86" i="6"/>
  <c r="E87" i="6" s="1"/>
  <c r="D88" i="6"/>
  <c r="F45" i="6"/>
  <c r="F67" i="6" s="1"/>
  <c r="F68" i="6" s="1"/>
  <c r="H14" i="6"/>
  <c r="F53" i="6"/>
  <c r="F71" i="6" s="1"/>
  <c r="F75" i="6" s="1"/>
  <c r="H12" i="6"/>
  <c r="C60" i="6"/>
  <c r="D61" i="6" s="1"/>
  <c r="D76" i="6" s="1"/>
  <c r="C52" i="6"/>
  <c r="D52" i="6"/>
  <c r="E53" i="6" s="1"/>
  <c r="E71" i="6" s="1"/>
  <c r="E75" i="6" s="1"/>
  <c r="G53" i="6"/>
  <c r="G71" i="6" s="1"/>
  <c r="G75" i="6" s="1"/>
  <c r="C85" i="5"/>
  <c r="D83" i="5"/>
  <c r="D84" i="5" s="1"/>
  <c r="D83" i="4"/>
  <c r="B83" i="4"/>
  <c r="C83" i="4"/>
  <c r="B62" i="4"/>
  <c r="D58" i="4"/>
  <c r="B74" i="4"/>
  <c r="B82" i="4" s="1"/>
  <c r="C59" i="4"/>
  <c r="C74" i="4"/>
  <c r="C82" i="4" s="1"/>
  <c r="D60" i="4"/>
  <c r="C58" i="4"/>
  <c r="D80" i="4"/>
  <c r="B81" i="4"/>
  <c r="C81" i="4"/>
  <c r="C80" i="4"/>
  <c r="D81" i="4"/>
  <c r="D79" i="4"/>
  <c r="C79" i="4"/>
  <c r="B29" i="4"/>
  <c r="B32" i="4" s="1"/>
  <c r="E96" i="8" l="1"/>
  <c r="E97" i="8" s="1"/>
  <c r="B99" i="8"/>
  <c r="F86" i="6"/>
  <c r="F87" i="6" s="1"/>
  <c r="E88" i="6"/>
  <c r="D53" i="6"/>
  <c r="D71" i="6" s="1"/>
  <c r="D75" i="6" s="1"/>
  <c r="C53" i="6"/>
  <c r="C71" i="6" s="1"/>
  <c r="C75" i="6" s="1"/>
  <c r="D85" i="5"/>
  <c r="E83" i="5"/>
  <c r="C84" i="4"/>
  <c r="C86" i="4" s="1"/>
  <c r="D84" i="4"/>
  <c r="D86" i="4" s="1"/>
  <c r="B84" i="4"/>
  <c r="B86" i="4" s="1"/>
  <c r="B88" i="4" s="1"/>
  <c r="C87" i="4" s="1"/>
  <c r="C62" i="4"/>
  <c r="D62" i="4"/>
  <c r="B33" i="4"/>
  <c r="B34" i="4" s="1"/>
  <c r="G86" i="6" l="1"/>
  <c r="G87" i="6" s="1"/>
  <c r="F88" i="6"/>
  <c r="C88" i="4"/>
  <c r="D87" i="4" s="1"/>
  <c r="D88" i="4" s="1"/>
  <c r="B76" i="2"/>
  <c r="B73" i="2"/>
  <c r="E71" i="2"/>
  <c r="E69" i="2"/>
  <c r="E67" i="2"/>
  <c r="E66" i="2"/>
  <c r="E65" i="2"/>
  <c r="E64" i="2"/>
  <c r="E63" i="2"/>
  <c r="E62" i="2"/>
  <c r="E61" i="2"/>
  <c r="E60" i="2"/>
  <c r="E59" i="2"/>
  <c r="D56" i="2"/>
  <c r="C56" i="2"/>
  <c r="B56" i="2"/>
  <c r="B55" i="2"/>
  <c r="B54" i="2"/>
  <c r="B53" i="2"/>
  <c r="D51" i="2"/>
  <c r="C51" i="2"/>
  <c r="B51" i="2"/>
  <c r="C50" i="2"/>
  <c r="B50" i="2"/>
  <c r="C49" i="2"/>
  <c r="B49" i="2"/>
  <c r="C48" i="2"/>
  <c r="B48" i="2"/>
  <c r="B43" i="2"/>
  <c r="B42" i="2"/>
  <c r="B41" i="2"/>
  <c r="B39" i="2"/>
  <c r="B38" i="2"/>
  <c r="B35" i="2"/>
  <c r="E24" i="2"/>
  <c r="B24" i="2"/>
  <c r="B38" i="1"/>
  <c r="B35" i="1"/>
  <c r="B34" i="1"/>
  <c r="B31" i="1"/>
  <c r="C26" i="1"/>
  <c r="C25" i="1"/>
  <c r="C24" i="1"/>
  <c r="C22" i="1"/>
  <c r="C21" i="1"/>
  <c r="C20" i="1"/>
  <c r="C19" i="1"/>
  <c r="G88" i="6" l="1"/>
  <c r="H87" i="6"/>
  <c r="C23" i="1"/>
  <c r="C27" i="1" s="1"/>
</calcChain>
</file>

<file path=xl/sharedStrings.xml><?xml version="1.0" encoding="utf-8"?>
<sst xmlns="http://schemas.openxmlformats.org/spreadsheetml/2006/main" count="827" uniqueCount="579">
  <si>
    <t>Oppgave 16.11</t>
  </si>
  <si>
    <t>Budsjett for 20x6:</t>
  </si>
  <si>
    <t>Driftsresultat</t>
  </si>
  <si>
    <t>Lån</t>
  </si>
  <si>
    <t>Rente på lån</t>
  </si>
  <si>
    <t xml:space="preserve">  (nedbetales i 20x8)</t>
  </si>
  <si>
    <t>Kostpris maskiner</t>
  </si>
  <si>
    <t xml:space="preserve">  (kjøpes i desember)</t>
  </si>
  <si>
    <t xml:space="preserve">            lån</t>
  </si>
  <si>
    <t xml:space="preserve">            kontant</t>
  </si>
  <si>
    <t>Ny truck (inkl mva)</t>
  </si>
  <si>
    <t>Kundefordringer IB</t>
  </si>
  <si>
    <t>Kundefordringer UB</t>
  </si>
  <si>
    <t>Skatt</t>
  </si>
  <si>
    <t xml:space="preserve"> (betales i 20x6)</t>
  </si>
  <si>
    <t>Budsjettert driftsresultat</t>
  </si>
  <si>
    <t xml:space="preserve"> - Budsjetterte renter</t>
  </si>
  <si>
    <t xml:space="preserve"> - Betalbar skatt som forfaller</t>
  </si>
  <si>
    <t xml:space="preserve"> + Budsjetterte avskrivninger</t>
  </si>
  <si>
    <t xml:space="preserve"> = Selvfinansieringsevnen</t>
  </si>
  <si>
    <t xml:space="preserve"> - Budsjetterte anleggsinvesteringer</t>
  </si>
  <si>
    <t xml:space="preserve"> - Forv. økn. i oms.avh. omløpsmidler</t>
  </si>
  <si>
    <t xml:space="preserve"> år</t>
  </si>
  <si>
    <t xml:space="preserve">   avskrives over</t>
  </si>
  <si>
    <t xml:space="preserve"> + Nye lån</t>
  </si>
  <si>
    <t xml:space="preserve"> a)</t>
  </si>
  <si>
    <t>Kasse/bank pr 01.01</t>
  </si>
  <si>
    <t>Budsj salgsinntekter</t>
  </si>
  <si>
    <t xml:space="preserve"> b) </t>
  </si>
  <si>
    <t>Likviditetsreserve</t>
  </si>
  <si>
    <t>Ny kasse/bank</t>
  </si>
  <si>
    <t>Ny likviditetsreserve</t>
  </si>
  <si>
    <t>Økning kasse/bank</t>
  </si>
  <si>
    <t>Likviditetsendring</t>
  </si>
  <si>
    <t xml:space="preserve"> c) Kapitalbehov</t>
  </si>
  <si>
    <t>Oppgave 16.12</t>
  </si>
  <si>
    <t>Omsetning</t>
  </si>
  <si>
    <t xml:space="preserve"> dette år</t>
  </si>
  <si>
    <t>Oms.vekst</t>
  </si>
  <si>
    <t xml:space="preserve"> neste år i Sverige</t>
  </si>
  <si>
    <t>Kreditt-tid</t>
  </si>
  <si>
    <t xml:space="preserve"> dager i Sverige</t>
  </si>
  <si>
    <t>Driftsmargin</t>
  </si>
  <si>
    <t xml:space="preserve"> (driftsres/driftsinnt)</t>
  </si>
  <si>
    <t xml:space="preserve"> Balanse per 31.12. dette år</t>
  </si>
  <si>
    <t>Eiendeler</t>
  </si>
  <si>
    <t xml:space="preserve">Egenkapital og gjeld  </t>
  </si>
  <si>
    <t>Anleggsmidler</t>
  </si>
  <si>
    <t>Aksjekapital</t>
  </si>
  <si>
    <t>Ferdigvarer</t>
  </si>
  <si>
    <t>Råvarelager/ViA</t>
  </si>
  <si>
    <t>Kundefordringer</t>
  </si>
  <si>
    <t>Langsiktige lån</t>
  </si>
  <si>
    <t>Kasse, bank</t>
  </si>
  <si>
    <t>Leverandørgjeld</t>
  </si>
  <si>
    <t>Skattegjeld</t>
  </si>
  <si>
    <t>Utbyttegjeld</t>
  </si>
  <si>
    <t>Skyldige feriepenger</t>
  </si>
  <si>
    <t>Sum kortsiktig gjeld</t>
  </si>
  <si>
    <t>Sum eiendeler</t>
  </si>
  <si>
    <t>Sum omløpsm.</t>
  </si>
  <si>
    <t>Annen EK</t>
  </si>
  <si>
    <t>Sum EK</t>
  </si>
  <si>
    <t>Kassekreditt</t>
  </si>
  <si>
    <t>Skyldig mva. arb.g.avg.</t>
  </si>
  <si>
    <t xml:space="preserve">Sum EK og gjeld  </t>
  </si>
  <si>
    <t xml:space="preserve"> Kontantbeholdningen skal holdes på samme nivå som IB gjennom året.</t>
  </si>
  <si>
    <t xml:space="preserve">  i løpet av budsjettåret. De andre omsetningsavhengige postene forventes å øke i samme takt som omsetningsøkningen.</t>
  </si>
  <si>
    <t xml:space="preserve"> Ferdigvarelageret forventes å øke med </t>
  </si>
  <si>
    <t xml:space="preserve"> Nye investeringer:</t>
  </si>
  <si>
    <t xml:space="preserve"> Avdrag:</t>
  </si>
  <si>
    <t xml:space="preserve"> Avskrivninger:</t>
  </si>
  <si>
    <t>Renter:</t>
  </si>
  <si>
    <t xml:space="preserve"> a) Likviditetsreserve:</t>
  </si>
  <si>
    <t>Limit:</t>
  </si>
  <si>
    <t>Budsj dr.res neste år:</t>
  </si>
  <si>
    <t>Eksport til Sverige</t>
  </si>
  <si>
    <t>Kundef. Sverige</t>
  </si>
  <si>
    <t>Kundef., nåværende</t>
  </si>
  <si>
    <t>Kundefordr. tot</t>
  </si>
  <si>
    <t>Prognose per</t>
  </si>
  <si>
    <t xml:space="preserve"> 31.12 dette år</t>
  </si>
  <si>
    <t>Budsjett per</t>
  </si>
  <si>
    <t>31.12 budsjettåret</t>
  </si>
  <si>
    <t>Ferdigvarelager</t>
  </si>
  <si>
    <t>Sum</t>
  </si>
  <si>
    <t>Skyldig mva, arb.g.avgift</t>
  </si>
  <si>
    <t>Økning:</t>
  </si>
  <si>
    <t xml:space="preserve">Budsjettert driftsresultat </t>
  </si>
  <si>
    <t>DR</t>
  </si>
  <si>
    <t xml:space="preserve">– budsjetterte renter på eksisterende lån </t>
  </si>
  <si>
    <t>R</t>
  </si>
  <si>
    <t>– betalbar skatt som forfaller i budsjettåret</t>
  </si>
  <si>
    <t>SK</t>
  </si>
  <si>
    <t>AV</t>
  </si>
  <si>
    <t>SE</t>
  </si>
  <si>
    <t>– Utbytte som forfaller i budsjettåret</t>
  </si>
  <si>
    <t>U</t>
  </si>
  <si>
    <t>– Avdrag på eksisterende lån</t>
  </si>
  <si>
    <t>AD</t>
  </si>
  <si>
    <t>– Budsjetterte anleggsinvesteringer</t>
  </si>
  <si>
    <t>AI</t>
  </si>
  <si>
    <t>– Forventet økning i omsetningsavhengige omløpsmidler</t>
  </si>
  <si>
    <t xml:space="preserve">   (i hovedsak kundefordringer og varelagre)</t>
  </si>
  <si>
    <t xml:space="preserve">   (i hovedsak leverandørgjeld, feriepenger og offentlig gjeld)</t>
  </si>
  <si>
    <t xml:space="preserve"> + budsjetterte avskrivninger (og nedskrivninger)</t>
  </si>
  <si>
    <t xml:space="preserve"> +Forventet økning i omsetningsavhengig kortsiktig gjeld</t>
  </si>
  <si>
    <t>∆OM</t>
  </si>
  <si>
    <t>∆KG</t>
  </si>
  <si>
    <t>∆LR</t>
  </si>
  <si>
    <t xml:space="preserve"> = Likviditetsendring</t>
  </si>
  <si>
    <t>Ubenyttet KK:</t>
  </si>
  <si>
    <t>Overtrekk!</t>
  </si>
  <si>
    <t>Budsj likviditetsres.:</t>
  </si>
  <si>
    <t xml:space="preserve"> c) Se boka</t>
  </si>
  <si>
    <t>Oppgave 16.14</t>
  </si>
  <si>
    <t>Budsjett:</t>
  </si>
  <si>
    <t xml:space="preserve">Antall </t>
  </si>
  <si>
    <t>Pris per enhet</t>
  </si>
  <si>
    <t xml:space="preserve"> Konstante varelagere</t>
  </si>
  <si>
    <t xml:space="preserve">Direkte material </t>
  </si>
  <si>
    <t xml:space="preserve"> per enhet</t>
  </si>
  <si>
    <t>Direkte lønn</t>
  </si>
  <si>
    <t>Indir var tilv.kostn.</t>
  </si>
  <si>
    <t>Selgerkostnader</t>
  </si>
  <si>
    <t>FK pr år ekskl avskr og renter</t>
  </si>
  <si>
    <t xml:space="preserve"> per år</t>
  </si>
  <si>
    <t>Avskrivninger</t>
  </si>
  <si>
    <t>Renteinntekter</t>
  </si>
  <si>
    <t>Rentekostnader</t>
  </si>
  <si>
    <t>Skattesats</t>
  </si>
  <si>
    <t xml:space="preserve"> a) Resultatbudsjett</t>
  </si>
  <si>
    <t>Salgsinntekter</t>
  </si>
  <si>
    <t>Dekningsbidrag</t>
  </si>
  <si>
    <t>Faste kostnader</t>
  </si>
  <si>
    <t>Resultat før skattekostnad</t>
  </si>
  <si>
    <t>Skattekostnad</t>
  </si>
  <si>
    <t>Resultat etter skatt</t>
  </si>
  <si>
    <t xml:space="preserve"> b)</t>
  </si>
  <si>
    <t>Dekningsgrad</t>
  </si>
  <si>
    <t>Nullpunktsomsetning</t>
  </si>
  <si>
    <t xml:space="preserve">Nullpunkt </t>
  </si>
  <si>
    <t xml:space="preserve"> enheter</t>
  </si>
  <si>
    <t>Fra Oppgave 15.23:</t>
  </si>
  <si>
    <t xml:space="preserve"> -----------------------------------------------------------------------------------------------------------------------</t>
  </si>
  <si>
    <t>Januar</t>
  </si>
  <si>
    <t>Februar</t>
  </si>
  <si>
    <t>Mars</t>
  </si>
  <si>
    <t>Forventede salgsinntekter kommende år</t>
  </si>
  <si>
    <t xml:space="preserve"> a)  Kontant</t>
  </si>
  <si>
    <t xml:space="preserve"> 1 måneds kreditt</t>
  </si>
  <si>
    <t xml:space="preserve"> 2 måneders kreditt</t>
  </si>
  <si>
    <t>Kundefordringer per 01.01</t>
  </si>
  <si>
    <t xml:space="preserve">      innbetalt i januar</t>
  </si>
  <si>
    <t xml:space="preserve">      innbetalt i februar</t>
  </si>
  <si>
    <t>Budsjettert salg</t>
  </si>
  <si>
    <t xml:space="preserve">Salgsinntekter januar </t>
  </si>
  <si>
    <t xml:space="preserve">Salgsinntekter februar </t>
  </si>
  <si>
    <t xml:space="preserve">Salgsinntekter mars </t>
  </si>
  <si>
    <t>Salgsinnbetalinger:</t>
  </si>
  <si>
    <t>Sum innbetalinger</t>
  </si>
  <si>
    <t>Alle andre betalbare kostnader blir betalt i samme måned som de påløper.</t>
  </si>
  <si>
    <t xml:space="preserve">Bedriften har 1 måneds kreditt på materialleveransene. Forutsett at materialinnkjøp er lik materialforbruk. </t>
  </si>
  <si>
    <t>Leverandørgjelden per 01. januar forventes å bli:</t>
  </si>
  <si>
    <t xml:space="preserve">Lønningene blir betalt med </t>
  </si>
  <si>
    <t xml:space="preserve">  i samme måned som de påløper, resten i påfølgende måned. </t>
  </si>
  <si>
    <t>Skyldig lønn per 01.01. forventes å være:</t>
  </si>
  <si>
    <t>Likv.beholdningen per 01.01 forventes å være:</t>
  </si>
  <si>
    <t>Likviditetsbudsjett:</t>
  </si>
  <si>
    <t>Varekjøpsutbetalinger</t>
  </si>
  <si>
    <t>Skyldig lønn</t>
  </si>
  <si>
    <t>Lønn</t>
  </si>
  <si>
    <t>Utbetaling/Salgsprovisjoner</t>
  </si>
  <si>
    <t>Utbetaling andre kostnader</t>
  </si>
  <si>
    <t>Sum utbetalinger</t>
  </si>
  <si>
    <t>IB likviditetsholdning</t>
  </si>
  <si>
    <t>UB likviditetsholdning</t>
  </si>
  <si>
    <t>Ant. enheter solgt:</t>
  </si>
  <si>
    <t>Innbet.overskudd/underskudd</t>
  </si>
  <si>
    <t>Oppgave 16.16</t>
  </si>
  <si>
    <t>Gjeld</t>
  </si>
  <si>
    <t>Pantelån</t>
  </si>
  <si>
    <t>Kontanter</t>
  </si>
  <si>
    <t xml:space="preserve">  Utdrag av balanseprognosen per 31.12.20x6 for AS Marko</t>
  </si>
  <si>
    <t>Sk arb.giv.avg.</t>
  </si>
  <si>
    <t xml:space="preserve">Sk. mva. 6. term </t>
  </si>
  <si>
    <t>Skyldige renter</t>
  </si>
  <si>
    <t xml:space="preserve"> I første kvartal 20x7 har bedriften budsjettert med følgende salgsinntekter:</t>
  </si>
  <si>
    <t>Kontantsalg</t>
  </si>
  <si>
    <t>Kredittsalg</t>
  </si>
  <si>
    <t>Mva.</t>
  </si>
  <si>
    <t xml:space="preserve"> a) Innbetalingsbudsjett</t>
  </si>
  <si>
    <t xml:space="preserve"> per 30 dager</t>
  </si>
  <si>
    <t>Til gode per 31.03.</t>
  </si>
  <si>
    <t xml:space="preserve">   kontant (20 %)</t>
  </si>
  <si>
    <t xml:space="preserve">   kreditt (80 %)</t>
  </si>
  <si>
    <t>Salg feb (inkl. mva.)</t>
  </si>
  <si>
    <t>Salg jan (inkl. mva.)</t>
  </si>
  <si>
    <t>Salg mars (inkl. mva.)</t>
  </si>
  <si>
    <t>Avanse</t>
  </si>
  <si>
    <t xml:space="preserve"> av inntakskost</t>
  </si>
  <si>
    <t>Varekjøp med betaling per 45 dager</t>
  </si>
  <si>
    <t>Økt varelager jan</t>
  </si>
  <si>
    <t>Økt varelager feb</t>
  </si>
  <si>
    <t>Redusert varelager mars</t>
  </si>
  <si>
    <t xml:space="preserve">  nov 20x6</t>
  </si>
  <si>
    <t>Varekjøp (ekskl. mva.)</t>
  </si>
  <si>
    <t xml:space="preserve">  des 20x6</t>
  </si>
  <si>
    <t>Økning varelager</t>
  </si>
  <si>
    <t>Salgsinnt / 1,25</t>
  </si>
  <si>
    <t>Varekjøp</t>
  </si>
  <si>
    <t>Utbetalinger inkl. mva.</t>
  </si>
  <si>
    <t>Varekjøp nov</t>
  </si>
  <si>
    <t>Varekjøp des</t>
  </si>
  <si>
    <t>Varekjøp jan</t>
  </si>
  <si>
    <t>Varekjøp feb</t>
  </si>
  <si>
    <t>Varekjøp mars</t>
  </si>
  <si>
    <t>Skyldig per 31.03.</t>
  </si>
  <si>
    <t>UB</t>
  </si>
  <si>
    <t>Lønnskostnad per mnd.</t>
  </si>
  <si>
    <t xml:space="preserve">  ekskl arbeidgiveravgift</t>
  </si>
  <si>
    <t>Arbeidgiveravgift</t>
  </si>
  <si>
    <t xml:space="preserve">  forfall 15.01, 15.03, osv.</t>
  </si>
  <si>
    <t>Merverdiavgiften for 6. termin 20x6 forfaller til betaling 10.02</t>
  </si>
  <si>
    <t>Renteterminer for pantegjelden er 15.09. og 15.03.</t>
  </si>
  <si>
    <t>Skyldige pantelånsrenter per 01.01. betales den 15.03.</t>
  </si>
  <si>
    <t>Avdrag på pantegjelden skal betales den 15.03. med:</t>
  </si>
  <si>
    <t>Husleie:</t>
  </si>
  <si>
    <t xml:space="preserve">   per måned og betales i sin helhet for 1. kvartal i mars.</t>
  </si>
  <si>
    <t>Andre betalbare kostn.:</t>
  </si>
  <si>
    <t xml:space="preserve">   per måned ekskl. mva. og forfaller til betaling i samme måned som de påløper.</t>
  </si>
  <si>
    <t>Kjøp varebil i feb:</t>
  </si>
  <si>
    <t xml:space="preserve">  inkl. mva.</t>
  </si>
  <si>
    <t xml:space="preserve"> c)</t>
  </si>
  <si>
    <t>Likviditetsbudsjett</t>
  </si>
  <si>
    <t>Salgsinnbetalinger</t>
  </si>
  <si>
    <t>Leverandører</t>
  </si>
  <si>
    <t>Lønnsutbetaling</t>
  </si>
  <si>
    <t>Arbeidsgiveravgift</t>
  </si>
  <si>
    <t>Merverdiavgift</t>
  </si>
  <si>
    <t>Renter</t>
  </si>
  <si>
    <t>Avdrag</t>
  </si>
  <si>
    <t>Husleie</t>
  </si>
  <si>
    <t>Andre utbetalinger</t>
  </si>
  <si>
    <t>Ny bil</t>
  </si>
  <si>
    <t>Innbetalingsoverskudd</t>
  </si>
  <si>
    <t>IB Kassekreditt/kontanter</t>
  </si>
  <si>
    <t>UB Kassekreditt</t>
  </si>
  <si>
    <t>Disponibelt</t>
  </si>
  <si>
    <t xml:space="preserve">  limit: </t>
  </si>
  <si>
    <t xml:space="preserve"> d) Avanse for 1. kvartal:</t>
  </si>
  <si>
    <t>Oppgave 16.17</t>
  </si>
  <si>
    <t>jan/feb</t>
  </si>
  <si>
    <t>mars/april</t>
  </si>
  <si>
    <t>mai/juni</t>
  </si>
  <si>
    <t>juli/aug</t>
  </si>
  <si>
    <t>sept/okt</t>
  </si>
  <si>
    <t>nov/des</t>
  </si>
  <si>
    <t>Vareforbruk</t>
  </si>
  <si>
    <t>Bruttofortjeneste</t>
  </si>
  <si>
    <t>Lønnskostnader</t>
  </si>
  <si>
    <t>Adm. kostnader</t>
  </si>
  <si>
    <t>Finanskostnader</t>
  </si>
  <si>
    <t>Resultat før skatt</t>
  </si>
  <si>
    <t>Salgets fordelingsnøkkel</t>
  </si>
  <si>
    <t xml:space="preserve"> Beløp i 1 000 kr</t>
  </si>
  <si>
    <t>Salg:</t>
  </si>
  <si>
    <t xml:space="preserve">    kontant</t>
  </si>
  <si>
    <t xml:space="preserve">    kreditt, 2 mnd</t>
  </si>
  <si>
    <t>Lev.kreditt er 1 mnd</t>
  </si>
  <si>
    <t>Husleie, adm.kostn. og lønn forfaller til betaling i samme måned som de påløper.</t>
  </si>
  <si>
    <t>Kundef per 01.01</t>
  </si>
  <si>
    <t>Alle beløp i 1 000 kr</t>
  </si>
  <si>
    <t>Lev.gjeld per 01.01</t>
  </si>
  <si>
    <t xml:space="preserve"> betales i jan/feb</t>
  </si>
  <si>
    <t>Rentene forfaller til betaling med:</t>
  </si>
  <si>
    <t xml:space="preserve"> i mars</t>
  </si>
  <si>
    <t xml:space="preserve"> i juni</t>
  </si>
  <si>
    <t xml:space="preserve"> i sept</t>
  </si>
  <si>
    <t xml:space="preserve"> i des</t>
  </si>
  <si>
    <t>Bedriftens avdrag på langsiktige lån forfaller med</t>
  </si>
  <si>
    <t>Kassekredittgjeld per 01.01</t>
  </si>
  <si>
    <t xml:space="preserve"> Limit KK</t>
  </si>
  <si>
    <t>Innbetalinger</t>
  </si>
  <si>
    <t>Salgsinntekter inkl. mva.</t>
  </si>
  <si>
    <t>Leveringsplan</t>
  </si>
  <si>
    <t>Fordelingsnøkkel</t>
  </si>
  <si>
    <t>Varekjøp uten mva.</t>
  </si>
  <si>
    <t>Varekjøp inkl. mva.</t>
  </si>
  <si>
    <t>Utbetaling varekjøp</t>
  </si>
  <si>
    <t>Utgående mva. (på salg)</t>
  </si>
  <si>
    <t>Inngående mva. på varekjøp</t>
  </si>
  <si>
    <t>Inngående mva. på annet kjøp</t>
  </si>
  <si>
    <t>Netto mva.</t>
  </si>
  <si>
    <t>Utbetaling mva.</t>
  </si>
  <si>
    <t>Innbetalinger fra drift</t>
  </si>
  <si>
    <t>Sum innbetalinger fra drift</t>
  </si>
  <si>
    <t>Utbetalinger til varekjøp</t>
  </si>
  <si>
    <t>Salgs- og administrasjonsutgifter</t>
  </si>
  <si>
    <t>Sum utbetalinger til drift</t>
  </si>
  <si>
    <t>Skyldig (tilgode) merverdiavgift</t>
  </si>
  <si>
    <t>Sum finansielle innbetalinger</t>
  </si>
  <si>
    <t>Finansielle utbetalinger</t>
  </si>
  <si>
    <t>Avdrag på lån</t>
  </si>
  <si>
    <t>Renteutgifter</t>
  </si>
  <si>
    <t>Sum finansielle utbetalinger</t>
  </si>
  <si>
    <t>Disponibel likviditet</t>
  </si>
  <si>
    <t>(KK limit – UB Kassekreditt)</t>
  </si>
  <si>
    <t>1. Innbetalinger fra drift</t>
  </si>
  <si>
    <t>2. Utbetalinger til drift</t>
  </si>
  <si>
    <t>3. Likviditetsresultat av drift (1–2)</t>
  </si>
  <si>
    <t>4. Finansielle innbetalinger</t>
  </si>
  <si>
    <t>5. Finansielle utbetalinger</t>
  </si>
  <si>
    <t xml:space="preserve"> + IB Kassekreditt (inkl. kontanter)</t>
  </si>
  <si>
    <t xml:space="preserve"> = UB Kassekreditt</t>
  </si>
  <si>
    <t>Lønn/arb.giveravgift/feriepenger</t>
  </si>
  <si>
    <t>Netto finansposter (renter)</t>
  </si>
  <si>
    <t xml:space="preserve"> fra oppg. 15.24</t>
  </si>
  <si>
    <t>7. Innbetalingsoverskudd</t>
  </si>
  <si>
    <t>6. Likv.resultat fra fin. trans.</t>
  </si>
  <si>
    <t>Resultat</t>
  </si>
  <si>
    <t>Oppgave 16.18</t>
  </si>
  <si>
    <t>Planene for årets produksjon og salg:</t>
  </si>
  <si>
    <t>Produksjon (enheter)</t>
  </si>
  <si>
    <t>Salg (enheter)</t>
  </si>
  <si>
    <t>Salgspris per enhet</t>
  </si>
  <si>
    <t xml:space="preserve"> ekskl. mva.</t>
  </si>
  <si>
    <t>Restlager per 1. mai</t>
  </si>
  <si>
    <t xml:space="preserve">    salgspris for disse</t>
  </si>
  <si>
    <t xml:space="preserve">    i mai/juni selges</t>
  </si>
  <si>
    <t xml:space="preserve">    i juli/aug selges</t>
  </si>
  <si>
    <t>Råvareforbruk per K</t>
  </si>
  <si>
    <t>Krever råvarelager tilsvarende 1 ukes produksjon:</t>
  </si>
  <si>
    <t xml:space="preserve">Råvarelageret skal være tomt når produksjonssesongen starter og slutter. </t>
  </si>
  <si>
    <t>Div. indir. materialkostn.</t>
  </si>
  <si>
    <t xml:space="preserve">  per enhet</t>
  </si>
  <si>
    <t>Salgskostnader</t>
  </si>
  <si>
    <t>Betalbare faste kostnader</t>
  </si>
  <si>
    <t xml:space="preserve">  per måned</t>
  </si>
  <si>
    <t>Forsikring</t>
  </si>
  <si>
    <t xml:space="preserve">  per år. (Betales i 2 halvårlige terminer, hhhv. 10. april og 10. okt.)</t>
  </si>
  <si>
    <t xml:space="preserve">  per år   </t>
  </si>
  <si>
    <t xml:space="preserve">Kalk. rentekostnader </t>
  </si>
  <si>
    <t>Ant ansatte</t>
  </si>
  <si>
    <t xml:space="preserve">  månedslønn</t>
  </si>
  <si>
    <t>Månedlønn formann</t>
  </si>
  <si>
    <t>Feriepenger</t>
  </si>
  <si>
    <t>Ingen arbeidsgiveravgift</t>
  </si>
  <si>
    <t>Kundekreditt:</t>
  </si>
  <si>
    <t xml:space="preserve">  uker</t>
  </si>
  <si>
    <t>Kundefordr. per 30.04</t>
  </si>
  <si>
    <t>Leverandørkreditt:</t>
  </si>
  <si>
    <t>Lev.gjeld per 30.04</t>
  </si>
  <si>
    <t>Skyldig mva.per 30.04</t>
  </si>
  <si>
    <t xml:space="preserve"> a) </t>
  </si>
  <si>
    <t>Salg fra fjorårets prod.</t>
  </si>
  <si>
    <t>Plan for salg</t>
  </si>
  <si>
    <t>Salgsbudsjett</t>
  </si>
  <si>
    <t>Salg fra årets prod.</t>
  </si>
  <si>
    <t>Utgående mva.</t>
  </si>
  <si>
    <t xml:space="preserve">  fra salg i juli/aug + mva.</t>
  </si>
  <si>
    <t xml:space="preserve">  fra salg i mai/juni + mva.</t>
  </si>
  <si>
    <t xml:space="preserve">  fra salg i sept/okt + mva.</t>
  </si>
  <si>
    <t xml:space="preserve">  fra salg i nov/des + mva.</t>
  </si>
  <si>
    <t>Sum salgsinnbetalinger</t>
  </si>
  <si>
    <t xml:space="preserve"> b) Kostnadsbudsjett</t>
  </si>
  <si>
    <t>Råvarer</t>
  </si>
  <si>
    <t>Div. ind. materialer</t>
  </si>
  <si>
    <t>Inngående mva.</t>
  </si>
  <si>
    <t>Var. salgskostnader</t>
  </si>
  <si>
    <t>Betalbare faste kostn.</t>
  </si>
  <si>
    <t>Utbetalingsbudsjett</t>
  </si>
  <si>
    <t xml:space="preserve">  for kjøp i mai/juni</t>
  </si>
  <si>
    <t xml:space="preserve">  for kjøp i juli/aug</t>
  </si>
  <si>
    <t xml:space="preserve">  for kjøp i sept/okt</t>
  </si>
  <si>
    <t xml:space="preserve">  for kjøp i nov/des</t>
  </si>
  <si>
    <t xml:space="preserve"> c) Mva.-budsjett</t>
  </si>
  <si>
    <t>Skyldig mva.</t>
  </si>
  <si>
    <t>Mva.-betaling</t>
  </si>
  <si>
    <t>d) Likviditetsbudsjett</t>
  </si>
  <si>
    <t>Lønn, inkl. skattetrekk</t>
  </si>
  <si>
    <t>6. Likv.resultat fra fin. trans.r (4+5)</t>
  </si>
  <si>
    <t>7. Innbetalingsoverskudd (3+6)</t>
  </si>
  <si>
    <t>Utbet. til råvarelev.</t>
  </si>
  <si>
    <t>Hon., repr., forsikr., div.</t>
  </si>
  <si>
    <t>3. Likviditetsresultat drift (1-2)</t>
  </si>
  <si>
    <t>d) Minimum KK:</t>
  </si>
  <si>
    <t>Oppgave 16.19</t>
  </si>
  <si>
    <t>Disp. likv. (limit KK - UB KK)</t>
  </si>
  <si>
    <t>UB kassekreditt og kontanter</t>
  </si>
  <si>
    <t>IB kassekreditt og kontanter</t>
  </si>
  <si>
    <t>Likv.res fra finans. trans.</t>
  </si>
  <si>
    <t>Renteutgift</t>
  </si>
  <si>
    <t>Skattebetaling</t>
  </si>
  <si>
    <t>Likv.resultat fra drift</t>
  </si>
  <si>
    <t>Utbetaling av mva</t>
  </si>
  <si>
    <t>Sum utbet. fra drift</t>
  </si>
  <si>
    <t>Lønn (og feriepenger)</t>
  </si>
  <si>
    <t>Utbetalinger varekjøp, kostnader, etc.</t>
  </si>
  <si>
    <t>Utbetalinger fra drift</t>
  </si>
  <si>
    <t>Sum innbet. fra drift</t>
  </si>
  <si>
    <t>Kundefordringer pr. 1. januar</t>
  </si>
  <si>
    <t>Apr</t>
  </si>
  <si>
    <t>Mar</t>
  </si>
  <si>
    <t>Feb</t>
  </si>
  <si>
    <t>Jan</t>
  </si>
  <si>
    <t xml:space="preserve">b)  Likviditetsbudsjett </t>
  </si>
  <si>
    <t>Sum utbetalt lønn</t>
  </si>
  <si>
    <t>Lønn for adm.arb som ikke slutter</t>
  </si>
  <si>
    <t>Lønn for prod.arb som ikke slutter</t>
  </si>
  <si>
    <t>Feriep. (frge år) for adm.arb som slutt</t>
  </si>
  <si>
    <t>Feriep. (frge år) for prod.arb som slutt</t>
  </si>
  <si>
    <t>Lønn for adm.arb som slutter i feb</t>
  </si>
  <si>
    <t>Lønn for prod.arb som slutter i feb</t>
  </si>
  <si>
    <t>Budsjett for utbetaling av lønn :</t>
  </si>
  <si>
    <t>6. termin (nov/des)</t>
  </si>
  <si>
    <t>5. termin (sept/okt)</t>
  </si>
  <si>
    <t>Betaling av mva</t>
  </si>
  <si>
    <t>4. termin (juli/aug)</t>
  </si>
  <si>
    <t>skyldig mva pr. 01. jan</t>
  </si>
  <si>
    <t>3. termin (mai/juni)</t>
  </si>
  <si>
    <t>nto. skyldig mva</t>
  </si>
  <si>
    <t>2. termin (mars/april)</t>
  </si>
  <si>
    <t>Inngående mva</t>
  </si>
  <si>
    <t>1. termin (jan/feb)</t>
  </si>
  <si>
    <t>Utgående mva</t>
  </si>
  <si>
    <t>forfall</t>
  </si>
  <si>
    <t>Forfall mva :</t>
  </si>
  <si>
    <t>Budsjett for mva-utbetalinger :</t>
  </si>
  <si>
    <t>Utbetalinger (kreditt-tid i celle B28)</t>
  </si>
  <si>
    <t>Leveradørgjeld, IB jan</t>
  </si>
  <si>
    <t>Sum kostnader (inkl mva)</t>
  </si>
  <si>
    <t>Mva (inngående)</t>
  </si>
  <si>
    <t>Sum kostnader (ekskl mva)</t>
  </si>
  <si>
    <t>Betalbare faste produksjonskostnader</t>
  </si>
  <si>
    <t>Div var produksjonskostnader</t>
  </si>
  <si>
    <t>Budsjett for utbetalinger (mva-pliktige innkjøp og kostnader) :</t>
  </si>
  <si>
    <t xml:space="preserve">Sum </t>
  </si>
  <si>
    <t>Innbetaling fra salg</t>
  </si>
  <si>
    <t>Kundefordringer (IB jan)</t>
  </si>
  <si>
    <t>Innbetalinsbudsjett :</t>
  </si>
  <si>
    <t>Salgsinntekt (inkl. mva)</t>
  </si>
  <si>
    <t>Mva. (utgående)</t>
  </si>
  <si>
    <t>Salgsinntekt (ekskl. mva)</t>
  </si>
  <si>
    <t>Salgsbudsjett :</t>
  </si>
  <si>
    <t xml:space="preserve">   fastsatt</t>
  </si>
  <si>
    <t>IB (mars)</t>
  </si>
  <si>
    <t>Innkjøp råvarer (ant. tonn)</t>
  </si>
  <si>
    <t>Innk (feb)</t>
  </si>
  <si>
    <t>Råvareforbruk (ant tonn)</t>
  </si>
  <si>
    <t>forbr (feb)</t>
  </si>
  <si>
    <t>produksjon (ant paller) (UB + salg - IB)</t>
  </si>
  <si>
    <t xml:space="preserve">  for stort  - må reduseres ytterligere !</t>
  </si>
  <si>
    <t>IB (feb)</t>
  </si>
  <si>
    <t>Salg (antall paller)</t>
  </si>
  <si>
    <t>forbr (jan)</t>
  </si>
  <si>
    <t>IB (jan)</t>
  </si>
  <si>
    <t>a)  Mengder for produksjon og salg :</t>
  </si>
  <si>
    <t>Råvarer :</t>
  </si>
  <si>
    <t>R.v.lager settes til inntakskost (FIFO), F.v.lager settes til tilvirkningsmerkost</t>
  </si>
  <si>
    <t>Ny råvarepris (i 1000 kr pr. tonn)</t>
  </si>
  <si>
    <t>Kred.tid kjøp og salg (dir. og indir.) (dg)</t>
  </si>
  <si>
    <t>Mva</t>
  </si>
  <si>
    <t>Adrag som betales i mars (i 1000 kr)</t>
  </si>
  <si>
    <t>Renter som betales i mars (i 1000 kr)</t>
  </si>
  <si>
    <t>Betalbar skatt som betales i 2. halvår</t>
  </si>
  <si>
    <t>Betalbar skatt som betales i april</t>
  </si>
  <si>
    <t>Betalbar skatt som betales i februar</t>
  </si>
  <si>
    <t>tonn</t>
  </si>
  <si>
    <t>IB r.v.lager</t>
  </si>
  <si>
    <t>Ny UB (r.v.lager) for jan., feb., osv.</t>
  </si>
  <si>
    <t>paller</t>
  </si>
  <si>
    <t>IB f.v.lager</t>
  </si>
  <si>
    <t>Ny UB (f.v.lager) for jan., feb., osv.</t>
  </si>
  <si>
    <t>R.v.- og f.v.lager ned til (dagers prod)</t>
  </si>
  <si>
    <t xml:space="preserve"> (feriep for forrige år betales ut i feb)</t>
  </si>
  <si>
    <t>Red. i adm (fra 1. mars) (personer)</t>
  </si>
  <si>
    <t>Sum EK og G</t>
  </si>
  <si>
    <t>Sum EI</t>
  </si>
  <si>
    <t>Red. i prod (fra 1. mars) (personer)</t>
  </si>
  <si>
    <t>Skyld feriep</t>
  </si>
  <si>
    <t xml:space="preserve"> (Jevnt salg over hele året)</t>
  </si>
  <si>
    <t>Redusert omsetning</t>
  </si>
  <si>
    <t>Skyld skatt.tr</t>
  </si>
  <si>
    <t>Pr. 01.01. :</t>
  </si>
  <si>
    <t>Skyldig mva</t>
  </si>
  <si>
    <t>(750 sperret)</t>
  </si>
  <si>
    <t>Betalbar skatt</t>
  </si>
  <si>
    <t>Kasse/bank</t>
  </si>
  <si>
    <t>Lev.gjeld</t>
  </si>
  <si>
    <t>Kundefordr</t>
  </si>
  <si>
    <t>Nto rentekostnader</t>
  </si>
  <si>
    <t>Kassekred</t>
  </si>
  <si>
    <t>R.v.lager</t>
  </si>
  <si>
    <t>F.v.lager</t>
  </si>
  <si>
    <t>Pantegjeld</t>
  </si>
  <si>
    <t>Utsatt skatt</t>
  </si>
  <si>
    <t>Maskin/inv</t>
  </si>
  <si>
    <t>Udisp oversk</t>
  </si>
  <si>
    <t>Transp.midl</t>
  </si>
  <si>
    <t>Råvareforbruk (112 000 tonn a kr 550)</t>
  </si>
  <si>
    <t>Bygninger</t>
  </si>
  <si>
    <t>Adm.lønn (12 pers a kr 240 000)</t>
  </si>
  <si>
    <t>Aksjekap</t>
  </si>
  <si>
    <t>Tomt</t>
  </si>
  <si>
    <t>Prod.lønn (60 pers a kr 192 000)</t>
  </si>
  <si>
    <t>Salgsinnt (16 000 paller a kr 7 000)</t>
  </si>
  <si>
    <t>Balanse budsjett for inneværende år (i 1000 kr)</t>
  </si>
  <si>
    <t>pris. pr enhet (i 1000 kr)</t>
  </si>
  <si>
    <t>Ant.</t>
  </si>
  <si>
    <t>Resultatbudsjett for innværende år (i 1000 kr)</t>
  </si>
  <si>
    <t xml:space="preserve">Alle beløp i 1 000 kr </t>
  </si>
  <si>
    <t>(9 400 tonn)</t>
  </si>
  <si>
    <t>(1 155 paller)</t>
  </si>
  <si>
    <t>(lim 6 000)</t>
  </si>
  <si>
    <t>EK og GJ</t>
  </si>
  <si>
    <t>EI</t>
  </si>
  <si>
    <t xml:space="preserve"> - vareforbruk (jan)</t>
  </si>
  <si>
    <t xml:space="preserve"> + varekjøp (jan)</t>
  </si>
  <si>
    <t>Sk. feriep</t>
  </si>
  <si>
    <t>IB</t>
  </si>
  <si>
    <t>Sk. arbg.av</t>
  </si>
  <si>
    <t>Varelager i balansebudsjett:</t>
  </si>
  <si>
    <t xml:space="preserve"> Skyld mva</t>
  </si>
  <si>
    <t>Skyld skatt</t>
  </si>
  <si>
    <t xml:space="preserve">Disp. likv. </t>
  </si>
  <si>
    <t xml:space="preserve">UB KK </t>
  </si>
  <si>
    <t>IB KK og kontanter</t>
  </si>
  <si>
    <t>Lang gjeld</t>
  </si>
  <si>
    <t>Kundef</t>
  </si>
  <si>
    <t xml:space="preserve"> Resultat</t>
  </si>
  <si>
    <t>Varelager</t>
  </si>
  <si>
    <t>Innbet.overskudd</t>
  </si>
  <si>
    <t>Likv.res fra fin. trans.</t>
  </si>
  <si>
    <t>Anleggsm</t>
  </si>
  <si>
    <t>Sum finans utbetalinger</t>
  </si>
  <si>
    <t>Balansebudsjett UB</t>
  </si>
  <si>
    <t>Skyld mva for mars:</t>
  </si>
  <si>
    <t>Mva på innkjøp jan (inn)</t>
  </si>
  <si>
    <t>Bet. driftskostn</t>
  </si>
  <si>
    <t>Mva på dr.utg jan (inn)</t>
  </si>
  <si>
    <t>Mva på salg januar (utg.)</t>
  </si>
  <si>
    <t>Arbeidsgiveravg.</t>
  </si>
  <si>
    <t>Merverdiavg.:</t>
  </si>
  <si>
    <t>Utbet leverand (inkl mva)</t>
  </si>
  <si>
    <t>Feriepengegrunnlag</t>
  </si>
  <si>
    <t xml:space="preserve"> - feriepenger</t>
  </si>
  <si>
    <t>Arbeidsgiveravg.grunnlag</t>
  </si>
  <si>
    <t>Salgsinnbet (inkl mva)</t>
  </si>
  <si>
    <t xml:space="preserve"> - arbeidsgiveravg.</t>
  </si>
  <si>
    <t>Kundefordr. pr. 1. mars</t>
  </si>
  <si>
    <t>Lønnskostnad</t>
  </si>
  <si>
    <t>Lønnsutbetaling :</t>
  </si>
  <si>
    <t>Likviditetsbudsjett for mars</t>
  </si>
  <si>
    <t>Avdrag, betalt i mars</t>
  </si>
  <si>
    <t>Kontantbeholdningen utlignes mot KK</t>
  </si>
  <si>
    <t>Renter, betalt i mars</t>
  </si>
  <si>
    <t xml:space="preserve">Skyld. arb.giv.avg. for 1. termin som forfaller 15. mars: </t>
  </si>
  <si>
    <t>Skyld. mva. forfaller 10. april</t>
  </si>
  <si>
    <t>Budsj. rentekostnader betales i mars</t>
  </si>
  <si>
    <t>Varer best. og levert i mars (eksl mva, kr) :</t>
  </si>
  <si>
    <t xml:space="preserve"> Alle ansatte har månedslønn</t>
  </si>
  <si>
    <t>Leverandørkred (dg)</t>
  </si>
  <si>
    <t>Kundekred (dg)</t>
  </si>
  <si>
    <t>som forfaller i samme mnd som de påløper.</t>
  </si>
  <si>
    <t>Limit KK</t>
  </si>
  <si>
    <t xml:space="preserve">Mva betales på bet. driftskostnader </t>
  </si>
  <si>
    <t>Sum EK og GJ</t>
  </si>
  <si>
    <t>Budsj res e skatt</t>
  </si>
  <si>
    <t xml:space="preserve"> - skatt</t>
  </si>
  <si>
    <t>Res. før skatt</t>
  </si>
  <si>
    <t xml:space="preserve"> - rentekostn</t>
  </si>
  <si>
    <t xml:space="preserve"> - Avskrivninger</t>
  </si>
  <si>
    <t xml:space="preserve"> - Lønn</t>
  </si>
  <si>
    <t xml:space="preserve"> - Bet. driftskostn</t>
  </si>
  <si>
    <t xml:space="preserve"> - varekostnad</t>
  </si>
  <si>
    <t>Resultatbudsjett for mars 2013</t>
  </si>
  <si>
    <t>Balanse IB</t>
  </si>
  <si>
    <t>Oppgave 16.21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</si>
</sst>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&quot;kr&quot;\ #,##0"/>
    <numFmt numFmtId="165" formatCode="0.000\ %"/>
    <numFmt numFmtId="166" formatCode="_ * #,##0_ ;_ * \-#,##0_ ;_ * &quot;-&quot;??_ ;_ @_ "/>
    <numFmt numFmtId="167" formatCode="&quot;kr&quot;\ #,##0.00000"/>
    <numFmt numFmtId="168" formatCode="_ * #,##0.000_ ;_ * \-#,##0.000_ ;_ * &quot;-&quot;???_ ;_ @_ "/>
    <numFmt numFmtId="169" formatCode="#,##0_ ;\-#,##0\ "/>
    <numFmt numFmtId="170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22"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0" applyNumberFormat="1"/>
    <xf numFmtId="164" fontId="0" fillId="0" borderId="1" xfId="0" applyNumberFormat="1" applyBorder="1"/>
    <xf numFmtId="10" fontId="0" fillId="0" borderId="0" xfId="2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5" fontId="0" fillId="0" borderId="0" xfId="2" applyNumberFormat="1" applyFont="1"/>
    <xf numFmtId="166" fontId="0" fillId="0" borderId="0" xfId="1" applyNumberFormat="1" applyFont="1"/>
    <xf numFmtId="9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12" xfId="0" applyFill="1" applyBorder="1"/>
    <xf numFmtId="164" fontId="0" fillId="0" borderId="12" xfId="0" applyNumberFormat="1" applyBorder="1"/>
    <xf numFmtId="9" fontId="0" fillId="0" borderId="0" xfId="2" applyFont="1"/>
    <xf numFmtId="10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12" xfId="0" applyBorder="1"/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12" xfId="1" applyNumberFormat="1" applyFont="1" applyBorder="1"/>
    <xf numFmtId="0" fontId="0" fillId="0" borderId="0" xfId="0" applyBorder="1" applyAlignment="1">
      <alignment horizontal="center"/>
    </xf>
    <xf numFmtId="43" fontId="0" fillId="0" borderId="1" xfId="1" applyFont="1" applyBorder="1"/>
    <xf numFmtId="43" fontId="0" fillId="0" borderId="12" xfId="1" applyFont="1" applyBorder="1"/>
    <xf numFmtId="43" fontId="0" fillId="0" borderId="0" xfId="0" applyNumberFormat="1"/>
    <xf numFmtId="43" fontId="0" fillId="0" borderId="1" xfId="0" applyNumberFormat="1" applyBorder="1"/>
    <xf numFmtId="0" fontId="4" fillId="0" borderId="0" xfId="0" applyFont="1"/>
    <xf numFmtId="0" fontId="4" fillId="0" borderId="12" xfId="0" applyFont="1" applyBorder="1"/>
    <xf numFmtId="0" fontId="0" fillId="0" borderId="1" xfId="0" applyFill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5" fillId="0" borderId="0" xfId="3"/>
    <xf numFmtId="41" fontId="5" fillId="0" borderId="0" xfId="3" applyNumberFormat="1"/>
    <xf numFmtId="0" fontId="5" fillId="0" borderId="0" xfId="3" applyFont="1"/>
    <xf numFmtId="41" fontId="6" fillId="0" borderId="12" xfId="3" applyNumberFormat="1" applyFont="1" applyBorder="1"/>
    <xf numFmtId="0" fontId="6" fillId="0" borderId="12" xfId="3" applyFont="1" applyBorder="1"/>
    <xf numFmtId="0" fontId="7" fillId="0" borderId="12" xfId="3" applyFont="1" applyBorder="1"/>
    <xf numFmtId="0" fontId="5" fillId="0" borderId="12" xfId="3" applyBorder="1"/>
    <xf numFmtId="0" fontId="8" fillId="0" borderId="0" xfId="3" applyFont="1"/>
    <xf numFmtId="41" fontId="7" fillId="0" borderId="12" xfId="3" applyNumberFormat="1" applyFont="1" applyBorder="1"/>
    <xf numFmtId="41" fontId="5" fillId="0" borderId="1" xfId="3" applyNumberFormat="1" applyBorder="1"/>
    <xf numFmtId="0" fontId="5" fillId="0" borderId="1" xfId="3" applyBorder="1"/>
    <xf numFmtId="0" fontId="7" fillId="0" borderId="1" xfId="3" applyFont="1" applyBorder="1" applyAlignment="1">
      <alignment horizontal="center"/>
    </xf>
    <xf numFmtId="41" fontId="7" fillId="0" borderId="1" xfId="3" applyNumberFormat="1" applyFont="1" applyBorder="1" applyAlignment="1">
      <alignment horizontal="center"/>
    </xf>
    <xf numFmtId="0" fontId="7" fillId="0" borderId="0" xfId="3" quotePrefix="1" applyFont="1" applyAlignment="1">
      <alignment horizontal="left"/>
    </xf>
    <xf numFmtId="41" fontId="7" fillId="0" borderId="0" xfId="3" applyNumberFormat="1" applyFont="1"/>
    <xf numFmtId="41" fontId="7" fillId="0" borderId="0" xfId="3" applyNumberFormat="1" applyFont="1" applyAlignment="1">
      <alignment horizontal="center"/>
    </xf>
    <xf numFmtId="0" fontId="7" fillId="0" borderId="0" xfId="3" applyFont="1"/>
    <xf numFmtId="16" fontId="5" fillId="0" borderId="0" xfId="3" applyNumberFormat="1" applyAlignment="1">
      <alignment horizontal="left"/>
    </xf>
    <xf numFmtId="41" fontId="7" fillId="0" borderId="5" xfId="3" applyNumberFormat="1" applyFont="1" applyBorder="1"/>
    <xf numFmtId="0" fontId="5" fillId="0" borderId="7" xfId="3" applyBorder="1"/>
    <xf numFmtId="0" fontId="5" fillId="0" borderId="5" xfId="3" applyBorder="1"/>
    <xf numFmtId="0" fontId="5" fillId="0" borderId="0" xfId="3" applyAlignment="1">
      <alignment horizontal="center"/>
    </xf>
    <xf numFmtId="41" fontId="7" fillId="0" borderId="5" xfId="3" applyNumberFormat="1" applyFont="1" applyBorder="1" applyAlignment="1">
      <alignment horizontal="center"/>
    </xf>
    <xf numFmtId="41" fontId="7" fillId="0" borderId="0" xfId="3" applyNumberFormat="1" applyFont="1" applyBorder="1"/>
    <xf numFmtId="0" fontId="5" fillId="0" borderId="0" xfId="3" applyBorder="1"/>
    <xf numFmtId="41" fontId="7" fillId="0" borderId="13" xfId="3" applyNumberFormat="1" applyFont="1" applyBorder="1"/>
    <xf numFmtId="41" fontId="5" fillId="0" borderId="5" xfId="3" applyNumberFormat="1" applyBorder="1"/>
    <xf numFmtId="41" fontId="5" fillId="0" borderId="5" xfId="3" applyNumberFormat="1" applyFont="1" applyBorder="1"/>
    <xf numFmtId="41" fontId="5" fillId="0" borderId="7" xfId="3" applyNumberFormat="1" applyBorder="1"/>
    <xf numFmtId="41" fontId="5" fillId="0" borderId="12" xfId="3" applyNumberFormat="1" applyBorder="1"/>
    <xf numFmtId="41" fontId="5" fillId="0" borderId="0" xfId="3" applyNumberFormat="1" applyFont="1"/>
    <xf numFmtId="168" fontId="5" fillId="0" borderId="0" xfId="3" applyNumberFormat="1"/>
    <xf numFmtId="41" fontId="5" fillId="0" borderId="0" xfId="3" applyNumberFormat="1" applyBorder="1"/>
    <xf numFmtId="9" fontId="5" fillId="0" borderId="0" xfId="3" applyNumberFormat="1"/>
    <xf numFmtId="0" fontId="9" fillId="0" borderId="0" xfId="3" applyFont="1"/>
    <xf numFmtId="41" fontId="9" fillId="0" borderId="0" xfId="3" applyNumberFormat="1" applyFont="1"/>
    <xf numFmtId="41" fontId="9" fillId="0" borderId="5" xfId="3" applyNumberFormat="1" applyFont="1" applyBorder="1"/>
    <xf numFmtId="41" fontId="10" fillId="0" borderId="0" xfId="3" applyNumberFormat="1" applyFont="1"/>
    <xf numFmtId="41" fontId="10" fillId="0" borderId="6" xfId="3" applyNumberFormat="1" applyFont="1" applyBorder="1"/>
    <xf numFmtId="41" fontId="10" fillId="0" borderId="5" xfId="3" applyNumberFormat="1" applyFont="1" applyBorder="1"/>
    <xf numFmtId="41" fontId="9" fillId="0" borderId="1" xfId="3" applyNumberFormat="1" applyFont="1" applyBorder="1"/>
    <xf numFmtId="41" fontId="9" fillId="0" borderId="8" xfId="3" applyNumberFormat="1" applyFont="1" applyBorder="1"/>
    <xf numFmtId="41" fontId="9" fillId="0" borderId="7" xfId="3" applyNumberFormat="1" applyFont="1" applyBorder="1"/>
    <xf numFmtId="41" fontId="9" fillId="0" borderId="6" xfId="3" applyNumberFormat="1" applyFont="1" applyBorder="1"/>
    <xf numFmtId="0" fontId="9" fillId="0" borderId="0" xfId="3" applyFont="1" applyAlignment="1">
      <alignment horizontal="center"/>
    </xf>
    <xf numFmtId="43" fontId="5" fillId="0" borderId="1" xfId="3" applyNumberFormat="1" applyBorder="1"/>
    <xf numFmtId="0" fontId="7" fillId="0" borderId="5" xfId="3" applyFont="1" applyBorder="1"/>
    <xf numFmtId="0" fontId="5" fillId="0" borderId="0" xfId="3" applyAlignment="1">
      <alignment horizontal="left"/>
    </xf>
    <xf numFmtId="0" fontId="5" fillId="0" borderId="5" xfId="3" applyBorder="1" applyAlignment="1">
      <alignment horizontal="center"/>
    </xf>
    <xf numFmtId="0" fontId="11" fillId="0" borderId="0" xfId="3" applyFont="1"/>
    <xf numFmtId="3" fontId="9" fillId="0" borderId="0" xfId="3" applyNumberFormat="1" applyFont="1" applyAlignment="1">
      <alignment horizontal="center"/>
    </xf>
    <xf numFmtId="0" fontId="7" fillId="0" borderId="1" xfId="3" applyFont="1" applyBorder="1"/>
    <xf numFmtId="0" fontId="12" fillId="0" borderId="0" xfId="3" applyFont="1"/>
    <xf numFmtId="41" fontId="12" fillId="0" borderId="0" xfId="3" applyNumberFormat="1" applyFont="1"/>
    <xf numFmtId="41" fontId="13" fillId="0" borderId="12" xfId="3" applyNumberFormat="1" applyFont="1" applyBorder="1"/>
    <xf numFmtId="41" fontId="13" fillId="0" borderId="13" xfId="3" applyNumberFormat="1" applyFont="1" applyBorder="1"/>
    <xf numFmtId="41" fontId="12" fillId="0" borderId="1" xfId="3" applyNumberFormat="1" applyFont="1" applyBorder="1"/>
    <xf numFmtId="41" fontId="12" fillId="0" borderId="7" xfId="3" applyNumberFormat="1" applyFont="1" applyBorder="1"/>
    <xf numFmtId="41" fontId="12" fillId="0" borderId="0" xfId="3" applyNumberFormat="1" applyFont="1" applyBorder="1"/>
    <xf numFmtId="41" fontId="12" fillId="0" borderId="5" xfId="3" applyNumberFormat="1" applyFont="1" applyBorder="1"/>
    <xf numFmtId="0" fontId="12" fillId="0" borderId="5" xfId="3" applyFont="1" applyBorder="1"/>
    <xf numFmtId="0" fontId="12" fillId="0" borderId="1" xfId="3" applyFont="1" applyBorder="1"/>
    <xf numFmtId="169" fontId="12" fillId="0" borderId="0" xfId="3" applyNumberFormat="1" applyFont="1"/>
    <xf numFmtId="0" fontId="13" fillId="0" borderId="0" xfId="3" applyFont="1"/>
    <xf numFmtId="41" fontId="12" fillId="0" borderId="12" xfId="3" applyNumberFormat="1" applyFont="1" applyBorder="1"/>
    <xf numFmtId="0" fontId="12" fillId="0" borderId="12" xfId="3" applyFont="1" applyBorder="1"/>
    <xf numFmtId="41" fontId="13" fillId="0" borderId="0" xfId="3" applyNumberFormat="1" applyFont="1"/>
    <xf numFmtId="0" fontId="14" fillId="0" borderId="0" xfId="3" applyFont="1"/>
    <xf numFmtId="41" fontId="13" fillId="0" borderId="0" xfId="3" applyNumberFormat="1" applyFont="1" applyAlignment="1">
      <alignment horizontal="center"/>
    </xf>
    <xf numFmtId="170" fontId="12" fillId="0" borderId="0" xfId="3" applyNumberFormat="1" applyFont="1"/>
    <xf numFmtId="9" fontId="12" fillId="0" borderId="0" xfId="3" applyNumberFormat="1" applyFont="1"/>
    <xf numFmtId="0" fontId="12" fillId="0" borderId="0" xfId="3" applyFont="1" applyBorder="1"/>
    <xf numFmtId="3" fontId="4" fillId="0" borderId="0" xfId="0" applyNumberFormat="1" applyFont="1"/>
  </cellXfs>
  <cellStyles count="4">
    <cellStyle name="Komma" xfId="1" builtinId="3"/>
    <cellStyle name="Normal" xfId="0" builtinId="0"/>
    <cellStyle name="Normal 2" xfId="3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k_finansmodeller_221206/Regneark/LosningerPaaOppgav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sn kap 1"/>
      <sheetName val="Løsn kap 2"/>
      <sheetName val="Løsn kap 3"/>
      <sheetName val="Løsn kap 4"/>
      <sheetName val="Løsn kap 5"/>
    </sheetNames>
    <sheetDataSet>
      <sheetData sheetId="0" refreshError="1"/>
      <sheetData sheetId="1"/>
      <sheetData sheetId="2" refreshError="1"/>
      <sheetData sheetId="3" refreshError="1"/>
      <sheetData sheetId="4">
        <row r="164">
          <cell r="B164">
            <v>100</v>
          </cell>
          <cell r="E164">
            <v>0.15833333333333335</v>
          </cell>
        </row>
        <row r="165">
          <cell r="B165">
            <v>100</v>
          </cell>
          <cell r="E165">
            <v>8.3333333333333592E-3</v>
          </cell>
        </row>
        <row r="166">
          <cell r="B166">
            <v>0.05</v>
          </cell>
        </row>
        <row r="167">
          <cell r="B167">
            <v>0.3</v>
          </cell>
        </row>
        <row r="168">
          <cell r="B168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2" sqref="B2"/>
    </sheetView>
  </sheetViews>
  <sheetFormatPr baseColWidth="10" defaultRowHeight="15" x14ac:dyDescent="0.25"/>
  <cols>
    <col min="1" max="1" width="20.5703125" customWidth="1"/>
    <col min="2" max="2" width="14.140625" customWidth="1"/>
    <col min="3" max="3" width="15.140625" customWidth="1"/>
  </cols>
  <sheetData>
    <row r="1" spans="1:5" x14ac:dyDescent="0.25">
      <c r="A1" t="s">
        <v>0</v>
      </c>
    </row>
    <row r="3" spans="1:5" x14ac:dyDescent="0.25">
      <c r="A3" s="1" t="s">
        <v>1</v>
      </c>
      <c r="B3" s="1"/>
    </row>
    <row r="4" spans="1:5" x14ac:dyDescent="0.25">
      <c r="A4" t="s">
        <v>2</v>
      </c>
      <c r="B4" s="2">
        <v>1000000</v>
      </c>
    </row>
    <row r="5" spans="1:5" x14ac:dyDescent="0.25">
      <c r="A5" t="s">
        <v>3</v>
      </c>
      <c r="B5" s="2">
        <v>300000</v>
      </c>
      <c r="C5" t="s">
        <v>5</v>
      </c>
    </row>
    <row r="6" spans="1:5" x14ac:dyDescent="0.25">
      <c r="A6" t="s">
        <v>4</v>
      </c>
      <c r="B6" s="3">
        <v>0.06</v>
      </c>
    </row>
    <row r="7" spans="1:5" x14ac:dyDescent="0.25">
      <c r="A7" t="s">
        <v>6</v>
      </c>
      <c r="B7" s="2">
        <v>2000000</v>
      </c>
      <c r="C7" t="s">
        <v>23</v>
      </c>
      <c r="D7">
        <v>10</v>
      </c>
      <c r="E7" t="s">
        <v>22</v>
      </c>
    </row>
    <row r="8" spans="1:5" x14ac:dyDescent="0.25">
      <c r="A8" t="s">
        <v>10</v>
      </c>
      <c r="B8" s="2">
        <v>250000</v>
      </c>
      <c r="C8" t="s">
        <v>7</v>
      </c>
    </row>
    <row r="9" spans="1:5" x14ac:dyDescent="0.25">
      <c r="A9" t="s">
        <v>9</v>
      </c>
      <c r="B9" s="3">
        <v>0.5</v>
      </c>
    </row>
    <row r="10" spans="1:5" x14ac:dyDescent="0.25">
      <c r="A10" t="s">
        <v>8</v>
      </c>
      <c r="B10" s="3">
        <v>0.5</v>
      </c>
    </row>
    <row r="11" spans="1:5" x14ac:dyDescent="0.25">
      <c r="A11" t="s">
        <v>11</v>
      </c>
      <c r="B11" s="2">
        <v>125000</v>
      </c>
    </row>
    <row r="12" spans="1:5" x14ac:dyDescent="0.25">
      <c r="A12" t="s">
        <v>12</v>
      </c>
      <c r="B12" s="2">
        <v>80000</v>
      </c>
    </row>
    <row r="13" spans="1:5" x14ac:dyDescent="0.25">
      <c r="A13" t="s">
        <v>13</v>
      </c>
      <c r="B13" s="2">
        <v>50000</v>
      </c>
      <c r="C13" t="s">
        <v>14</v>
      </c>
    </row>
    <row r="14" spans="1:5" x14ac:dyDescent="0.25">
      <c r="B14" s="2"/>
    </row>
    <row r="15" spans="1:5" x14ac:dyDescent="0.25">
      <c r="A15" t="s">
        <v>26</v>
      </c>
      <c r="B15" s="2">
        <v>250000</v>
      </c>
    </row>
    <row r="16" spans="1:5" x14ac:dyDescent="0.25">
      <c r="A16" t="s">
        <v>27</v>
      </c>
      <c r="B16" s="2">
        <v>7000000</v>
      </c>
    </row>
    <row r="18" spans="1:3" x14ac:dyDescent="0.25">
      <c r="A18" s="1" t="s">
        <v>25</v>
      </c>
      <c r="B18" s="1"/>
      <c r="C18" s="1"/>
    </row>
    <row r="19" spans="1:3" x14ac:dyDescent="0.25">
      <c r="A19" t="s">
        <v>15</v>
      </c>
      <c r="C19" s="2">
        <f>B4</f>
        <v>1000000</v>
      </c>
    </row>
    <row r="20" spans="1:3" x14ac:dyDescent="0.25">
      <c r="A20" t="s">
        <v>16</v>
      </c>
      <c r="C20" s="2">
        <f>B6*B5</f>
        <v>18000</v>
      </c>
    </row>
    <row r="21" spans="1:3" x14ac:dyDescent="0.25">
      <c r="A21" t="s">
        <v>17</v>
      </c>
      <c r="C21" s="2">
        <f>B13</f>
        <v>50000</v>
      </c>
    </row>
    <row r="22" spans="1:3" x14ac:dyDescent="0.25">
      <c r="A22" s="1" t="s">
        <v>18</v>
      </c>
      <c r="B22" s="1"/>
      <c r="C22" s="4">
        <f>B7/D7</f>
        <v>200000</v>
      </c>
    </row>
    <row r="23" spans="1:3" x14ac:dyDescent="0.25">
      <c r="A23" t="s">
        <v>19</v>
      </c>
      <c r="C23" s="2">
        <f>C19-C20-C21+C22</f>
        <v>1132000</v>
      </c>
    </row>
    <row r="24" spans="1:3" x14ac:dyDescent="0.25">
      <c r="A24" t="s">
        <v>24</v>
      </c>
      <c r="C24" s="2">
        <f>B8*B10</f>
        <v>125000</v>
      </c>
    </row>
    <row r="25" spans="1:3" x14ac:dyDescent="0.25">
      <c r="A25" t="s">
        <v>20</v>
      </c>
      <c r="C25" s="2">
        <f>B8</f>
        <v>250000</v>
      </c>
    </row>
    <row r="26" spans="1:3" x14ac:dyDescent="0.25">
      <c r="A26" s="1" t="s">
        <v>21</v>
      </c>
      <c r="B26" s="1"/>
      <c r="C26" s="4">
        <f>B12-B11</f>
        <v>-45000</v>
      </c>
    </row>
    <row r="27" spans="1:3" x14ac:dyDescent="0.25">
      <c r="A27" t="s">
        <v>33</v>
      </c>
      <c r="C27" s="2">
        <f>C23+C24-C25-C26</f>
        <v>1052000</v>
      </c>
    </row>
    <row r="28" spans="1:3" x14ac:dyDescent="0.25">
      <c r="C28" s="2"/>
    </row>
    <row r="30" spans="1:3" x14ac:dyDescent="0.25">
      <c r="A30" t="s">
        <v>28</v>
      </c>
    </row>
    <row r="31" spans="1:3" x14ac:dyDescent="0.25">
      <c r="A31" t="s">
        <v>29</v>
      </c>
      <c r="B31" s="5">
        <f>B15/B16</f>
        <v>3.5714285714285712E-2</v>
      </c>
    </row>
    <row r="33" spans="1:2" x14ac:dyDescent="0.25">
      <c r="A33" t="s">
        <v>30</v>
      </c>
      <c r="B33" s="2">
        <v>1400000</v>
      </c>
    </row>
    <row r="34" spans="1:2" x14ac:dyDescent="0.25">
      <c r="A34" t="s">
        <v>31</v>
      </c>
      <c r="B34" s="5">
        <f>B33/B16</f>
        <v>0.2</v>
      </c>
    </row>
    <row r="35" spans="1:2" x14ac:dyDescent="0.25">
      <c r="A35" t="s">
        <v>32</v>
      </c>
      <c r="B35" s="2">
        <f>B33-B15</f>
        <v>1150000</v>
      </c>
    </row>
    <row r="38" spans="1:2" x14ac:dyDescent="0.25">
      <c r="A38" t="s">
        <v>34</v>
      </c>
      <c r="B38" s="2">
        <f>B35-C27</f>
        <v>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2" sqref="B2"/>
    </sheetView>
  </sheetViews>
  <sheetFormatPr baseColWidth="10" defaultRowHeight="15" x14ac:dyDescent="0.25"/>
  <cols>
    <col min="1" max="1" width="20.42578125" customWidth="1"/>
    <col min="2" max="2" width="20" customWidth="1"/>
    <col min="3" max="3" width="20.140625" customWidth="1"/>
    <col min="4" max="4" width="21.7109375" customWidth="1"/>
    <col min="5" max="5" width="15" customWidth="1"/>
  </cols>
  <sheetData>
    <row r="1" spans="1:6" x14ac:dyDescent="0.25">
      <c r="A1" t="s">
        <v>35</v>
      </c>
    </row>
    <row r="3" spans="1:6" x14ac:dyDescent="0.25">
      <c r="A3" t="s">
        <v>36</v>
      </c>
      <c r="B3" s="2">
        <v>90000000</v>
      </c>
      <c r="C3" t="s">
        <v>37</v>
      </c>
    </row>
    <row r="4" spans="1:6" x14ac:dyDescent="0.25">
      <c r="A4" t="s">
        <v>38</v>
      </c>
      <c r="B4" s="3">
        <v>0.4</v>
      </c>
      <c r="C4" t="s">
        <v>39</v>
      </c>
    </row>
    <row r="5" spans="1:6" x14ac:dyDescent="0.25">
      <c r="A5" t="s">
        <v>40</v>
      </c>
      <c r="B5">
        <v>90</v>
      </c>
      <c r="C5" t="s">
        <v>41</v>
      </c>
    </row>
    <row r="6" spans="1:6" x14ac:dyDescent="0.25">
      <c r="A6" t="s">
        <v>42</v>
      </c>
      <c r="B6" s="3">
        <v>0.06</v>
      </c>
      <c r="C6" t="s">
        <v>43</v>
      </c>
    </row>
    <row r="8" spans="1:6" x14ac:dyDescent="0.25">
      <c r="A8" s="1" t="s">
        <v>44</v>
      </c>
      <c r="B8" s="1"/>
      <c r="C8" s="1"/>
      <c r="D8" s="1"/>
      <c r="E8" s="1"/>
    </row>
    <row r="9" spans="1:6" x14ac:dyDescent="0.25">
      <c r="A9" t="s">
        <v>45</v>
      </c>
      <c r="D9" t="s">
        <v>46</v>
      </c>
    </row>
    <row r="10" spans="1:6" x14ac:dyDescent="0.25">
      <c r="A10" t="s">
        <v>47</v>
      </c>
      <c r="B10" s="2">
        <v>24300000</v>
      </c>
      <c r="D10" t="s">
        <v>48</v>
      </c>
      <c r="E10" s="2">
        <v>6000000</v>
      </c>
    </row>
    <row r="11" spans="1:6" x14ac:dyDescent="0.25">
      <c r="B11" s="2"/>
      <c r="D11" t="s">
        <v>61</v>
      </c>
      <c r="E11" s="2">
        <v>4700000</v>
      </c>
    </row>
    <row r="12" spans="1:6" x14ac:dyDescent="0.25">
      <c r="A12" t="s">
        <v>49</v>
      </c>
      <c r="B12" s="2">
        <v>9800000</v>
      </c>
      <c r="D12" t="s">
        <v>62</v>
      </c>
      <c r="E12" s="2">
        <v>10700000</v>
      </c>
    </row>
    <row r="13" spans="1:6" x14ac:dyDescent="0.25">
      <c r="A13" t="s">
        <v>50</v>
      </c>
      <c r="B13" s="2">
        <v>3100000</v>
      </c>
      <c r="E13" s="2"/>
    </row>
    <row r="14" spans="1:6" x14ac:dyDescent="0.25">
      <c r="A14" t="s">
        <v>51</v>
      </c>
      <c r="B14" s="2">
        <v>8500000</v>
      </c>
      <c r="D14" t="s">
        <v>52</v>
      </c>
      <c r="E14" s="2">
        <v>17870000</v>
      </c>
    </row>
    <row r="15" spans="1:6" x14ac:dyDescent="0.25">
      <c r="A15" t="s">
        <v>53</v>
      </c>
      <c r="B15" s="2">
        <v>500000</v>
      </c>
      <c r="E15" s="2"/>
    </row>
    <row r="16" spans="1:6" x14ac:dyDescent="0.25">
      <c r="A16" t="s">
        <v>60</v>
      </c>
      <c r="B16" s="2">
        <v>21900000</v>
      </c>
      <c r="E16" s="2"/>
      <c r="F16" s="8" t="s">
        <v>74</v>
      </c>
    </row>
    <row r="17" spans="1:6" x14ac:dyDescent="0.25">
      <c r="B17" s="2"/>
      <c r="D17" t="s">
        <v>63</v>
      </c>
      <c r="E17" s="2">
        <v>4800000</v>
      </c>
      <c r="F17" s="9">
        <v>7000000</v>
      </c>
    </row>
    <row r="18" spans="1:6" x14ac:dyDescent="0.25">
      <c r="B18" s="2"/>
      <c r="D18" t="s">
        <v>54</v>
      </c>
      <c r="E18" s="2">
        <v>5200000</v>
      </c>
    </row>
    <row r="19" spans="1:6" x14ac:dyDescent="0.25">
      <c r="B19" s="2"/>
      <c r="D19" t="s">
        <v>55</v>
      </c>
      <c r="E19" s="2">
        <v>320000</v>
      </c>
    </row>
    <row r="20" spans="1:6" x14ac:dyDescent="0.25">
      <c r="B20" s="2"/>
      <c r="D20" t="s">
        <v>64</v>
      </c>
      <c r="E20" s="2">
        <v>2600000</v>
      </c>
    </row>
    <row r="21" spans="1:6" x14ac:dyDescent="0.25">
      <c r="B21" s="2"/>
      <c r="D21" t="s">
        <v>56</v>
      </c>
      <c r="E21" s="2">
        <v>610000</v>
      </c>
    </row>
    <row r="22" spans="1:6" x14ac:dyDescent="0.25">
      <c r="B22" s="2"/>
      <c r="C22" s="6"/>
      <c r="D22" t="s">
        <v>57</v>
      </c>
      <c r="E22" s="2">
        <v>4100000</v>
      </c>
    </row>
    <row r="23" spans="1:6" x14ac:dyDescent="0.25">
      <c r="A23" s="1"/>
      <c r="B23" s="4"/>
      <c r="C23" s="1"/>
      <c r="D23" s="1" t="s">
        <v>58</v>
      </c>
      <c r="E23" s="4">
        <v>17630000</v>
      </c>
    </row>
    <row r="24" spans="1:6" x14ac:dyDescent="0.25">
      <c r="A24" t="s">
        <v>59</v>
      </c>
      <c r="B24" s="2">
        <f>SUM(B10:B15)</f>
        <v>46200000</v>
      </c>
      <c r="D24" t="s">
        <v>65</v>
      </c>
      <c r="E24" s="2">
        <f>E10+E11+E14+E17+E18+E19+E20+E21+E22</f>
        <v>46200000</v>
      </c>
    </row>
    <row r="27" spans="1:6" x14ac:dyDescent="0.25">
      <c r="A27" t="s">
        <v>66</v>
      </c>
    </row>
    <row r="28" spans="1:6" x14ac:dyDescent="0.25">
      <c r="A28" t="s">
        <v>68</v>
      </c>
      <c r="C28" s="2">
        <v>1000000</v>
      </c>
    </row>
    <row r="29" spans="1:6" x14ac:dyDescent="0.25">
      <c r="A29" t="s">
        <v>67</v>
      </c>
    </row>
    <row r="30" spans="1:6" x14ac:dyDescent="0.25">
      <c r="A30" t="s">
        <v>69</v>
      </c>
      <c r="B30" s="2">
        <v>1600000</v>
      </c>
    </row>
    <row r="31" spans="1:6" x14ac:dyDescent="0.25">
      <c r="A31" t="s">
        <v>70</v>
      </c>
      <c r="B31" s="2">
        <v>2100000</v>
      </c>
    </row>
    <row r="32" spans="1:6" x14ac:dyDescent="0.25">
      <c r="A32" t="s">
        <v>71</v>
      </c>
      <c r="B32" s="2">
        <v>2300000</v>
      </c>
    </row>
    <row r="33" spans="1:4" x14ac:dyDescent="0.25">
      <c r="A33" t="s">
        <v>72</v>
      </c>
      <c r="B33" s="2">
        <v>1220000</v>
      </c>
    </row>
    <row r="35" spans="1:4" x14ac:dyDescent="0.25">
      <c r="A35" t="s">
        <v>73</v>
      </c>
      <c r="B35" s="5">
        <f>(B15+F17-E17)/B3</f>
        <v>0.03</v>
      </c>
    </row>
    <row r="37" spans="1:4" x14ac:dyDescent="0.25">
      <c r="A37" t="s">
        <v>28</v>
      </c>
    </row>
    <row r="38" spans="1:4" x14ac:dyDescent="0.25">
      <c r="A38" t="s">
        <v>75</v>
      </c>
      <c r="B38" s="2">
        <f>B3*(1+B4)*B6</f>
        <v>7559999.9999999991</v>
      </c>
    </row>
    <row r="39" spans="1:4" x14ac:dyDescent="0.25">
      <c r="A39" t="s">
        <v>76</v>
      </c>
      <c r="B39" s="2">
        <f>B3*B4</f>
        <v>36000000</v>
      </c>
    </row>
    <row r="40" spans="1:4" x14ac:dyDescent="0.25">
      <c r="B40" s="2"/>
    </row>
    <row r="41" spans="1:4" x14ac:dyDescent="0.25">
      <c r="A41" t="s">
        <v>77</v>
      </c>
      <c r="B41" s="2">
        <f>B39*B5/360</f>
        <v>9000000</v>
      </c>
    </row>
    <row r="42" spans="1:4" x14ac:dyDescent="0.25">
      <c r="A42" s="1" t="s">
        <v>78</v>
      </c>
      <c r="B42" s="4">
        <f>B14</f>
        <v>8500000</v>
      </c>
    </row>
    <row r="43" spans="1:4" x14ac:dyDescent="0.25">
      <c r="A43" t="s">
        <v>79</v>
      </c>
      <c r="B43" s="2">
        <f>B41+B42</f>
        <v>17500000</v>
      </c>
    </row>
    <row r="46" spans="1:4" x14ac:dyDescent="0.25">
      <c r="B46" t="s">
        <v>80</v>
      </c>
      <c r="C46" t="s">
        <v>82</v>
      </c>
    </row>
    <row r="47" spans="1:4" x14ac:dyDescent="0.25">
      <c r="A47" s="1"/>
      <c r="B47" s="1" t="s">
        <v>81</v>
      </c>
      <c r="C47" s="1" t="s">
        <v>83</v>
      </c>
      <c r="D47" s="7" t="s">
        <v>87</v>
      </c>
    </row>
    <row r="48" spans="1:4" x14ac:dyDescent="0.25">
      <c r="A48" t="s">
        <v>51</v>
      </c>
      <c r="B48" s="2">
        <f>B14</f>
        <v>8500000</v>
      </c>
      <c r="C48" s="2">
        <f>B43</f>
        <v>17500000</v>
      </c>
    </row>
    <row r="49" spans="1:5" x14ac:dyDescent="0.25">
      <c r="A49" t="s">
        <v>50</v>
      </c>
      <c r="B49" s="2">
        <f>B13</f>
        <v>3100000</v>
      </c>
      <c r="C49" s="2">
        <f>B49*(1+B4)</f>
        <v>4340000</v>
      </c>
    </row>
    <row r="50" spans="1:5" x14ac:dyDescent="0.25">
      <c r="A50" s="1" t="s">
        <v>84</v>
      </c>
      <c r="B50" s="4">
        <f>B12</f>
        <v>9800000</v>
      </c>
      <c r="C50" s="4">
        <f>B50+C28</f>
        <v>10800000</v>
      </c>
    </row>
    <row r="51" spans="1:5" x14ac:dyDescent="0.25">
      <c r="A51" t="s">
        <v>85</v>
      </c>
      <c r="B51" s="2">
        <f>SUM(B48:B50)</f>
        <v>21400000</v>
      </c>
      <c r="C51" s="2">
        <f>SUM(C48:C50)</f>
        <v>32640000</v>
      </c>
      <c r="D51" s="2">
        <f>C51-B51</f>
        <v>11240000</v>
      </c>
    </row>
    <row r="53" spans="1:5" x14ac:dyDescent="0.25">
      <c r="A53" t="s">
        <v>54</v>
      </c>
      <c r="B53" s="2">
        <f>E18</f>
        <v>5200000</v>
      </c>
    </row>
    <row r="54" spans="1:5" x14ac:dyDescent="0.25">
      <c r="A54" t="s">
        <v>86</v>
      </c>
      <c r="B54" s="2">
        <f>E20</f>
        <v>2600000</v>
      </c>
    </row>
    <row r="55" spans="1:5" x14ac:dyDescent="0.25">
      <c r="A55" s="1" t="s">
        <v>57</v>
      </c>
      <c r="B55" s="4">
        <f>E22</f>
        <v>4100000</v>
      </c>
      <c r="C55" s="1"/>
    </row>
    <row r="56" spans="1:5" x14ac:dyDescent="0.25">
      <c r="A56" t="s">
        <v>85</v>
      </c>
      <c r="B56" s="2">
        <f>SUM(B53:B55)</f>
        <v>11900000</v>
      </c>
      <c r="C56" s="2">
        <f>B56*(1+B4)</f>
        <v>16659999.999999998</v>
      </c>
      <c r="D56" s="2">
        <f>C56-B56</f>
        <v>4759999.9999999981</v>
      </c>
    </row>
    <row r="59" spans="1:5" x14ac:dyDescent="0.25">
      <c r="A59" s="11" t="s">
        <v>88</v>
      </c>
      <c r="B59" s="12"/>
      <c r="C59" s="12"/>
      <c r="D59" s="16" t="s">
        <v>89</v>
      </c>
      <c r="E59" s="19">
        <f>B38</f>
        <v>7559999.9999999991</v>
      </c>
    </row>
    <row r="60" spans="1:5" x14ac:dyDescent="0.25">
      <c r="A60" s="13" t="s">
        <v>90</v>
      </c>
      <c r="B60" s="14"/>
      <c r="C60" s="14"/>
      <c r="D60" s="17" t="s">
        <v>91</v>
      </c>
      <c r="E60" s="20">
        <f>B33</f>
        <v>1220000</v>
      </c>
    </row>
    <row r="61" spans="1:5" x14ac:dyDescent="0.25">
      <c r="A61" s="13" t="s">
        <v>92</v>
      </c>
      <c r="B61" s="14"/>
      <c r="C61" s="14"/>
      <c r="D61" s="17" t="s">
        <v>93</v>
      </c>
      <c r="E61" s="20">
        <f>E19</f>
        <v>320000</v>
      </c>
    </row>
    <row r="62" spans="1:5" x14ac:dyDescent="0.25">
      <c r="A62" s="15" t="s">
        <v>105</v>
      </c>
      <c r="B62" s="1"/>
      <c r="C62" s="1"/>
      <c r="D62" s="18" t="s">
        <v>94</v>
      </c>
      <c r="E62" s="21">
        <f>B32</f>
        <v>2300000</v>
      </c>
    </row>
    <row r="63" spans="1:5" x14ac:dyDescent="0.25">
      <c r="A63" s="13" t="s">
        <v>19</v>
      </c>
      <c r="B63" s="14"/>
      <c r="C63" s="14"/>
      <c r="D63" s="17" t="s">
        <v>95</v>
      </c>
      <c r="E63" s="20">
        <f>E59-E60-E61+E62</f>
        <v>8319999.9999999991</v>
      </c>
    </row>
    <row r="64" spans="1:5" x14ac:dyDescent="0.25">
      <c r="A64" s="13" t="s">
        <v>96</v>
      </c>
      <c r="B64" s="14"/>
      <c r="C64" s="14"/>
      <c r="D64" s="17" t="s">
        <v>97</v>
      </c>
      <c r="E64" s="20">
        <f>E21</f>
        <v>610000</v>
      </c>
    </row>
    <row r="65" spans="1:5" x14ac:dyDescent="0.25">
      <c r="A65" s="13" t="s">
        <v>98</v>
      </c>
      <c r="B65" s="14"/>
      <c r="C65" s="14"/>
      <c r="D65" s="17" t="s">
        <v>99</v>
      </c>
      <c r="E65" s="20">
        <f>B31</f>
        <v>2100000</v>
      </c>
    </row>
    <row r="66" spans="1:5" x14ac:dyDescent="0.25">
      <c r="A66" s="13" t="s">
        <v>100</v>
      </c>
      <c r="B66" s="14"/>
      <c r="C66" s="14"/>
      <c r="D66" s="17" t="s">
        <v>101</v>
      </c>
      <c r="E66" s="20">
        <f>B30</f>
        <v>1600000</v>
      </c>
    </row>
    <row r="67" spans="1:5" x14ac:dyDescent="0.25">
      <c r="A67" s="13" t="s">
        <v>102</v>
      </c>
      <c r="B67" s="14"/>
      <c r="C67" s="14"/>
      <c r="D67" s="17" t="s">
        <v>107</v>
      </c>
      <c r="E67" s="20">
        <f>D51</f>
        <v>11240000</v>
      </c>
    </row>
    <row r="68" spans="1:5" x14ac:dyDescent="0.25">
      <c r="A68" s="13" t="s">
        <v>103</v>
      </c>
      <c r="B68" s="14"/>
      <c r="C68" s="14"/>
      <c r="D68" s="17"/>
      <c r="E68" s="20"/>
    </row>
    <row r="69" spans="1:5" x14ac:dyDescent="0.25">
      <c r="A69" s="13" t="s">
        <v>106</v>
      </c>
      <c r="B69" s="14"/>
      <c r="C69" s="14"/>
      <c r="D69" s="17" t="s">
        <v>108</v>
      </c>
      <c r="E69" s="20">
        <f>D56</f>
        <v>4759999.9999999981</v>
      </c>
    </row>
    <row r="70" spans="1:5" x14ac:dyDescent="0.25">
      <c r="A70" s="15" t="s">
        <v>104</v>
      </c>
      <c r="B70" s="1"/>
      <c r="C70" s="1"/>
      <c r="D70" s="18"/>
      <c r="E70" s="21"/>
    </row>
    <row r="71" spans="1:5" x14ac:dyDescent="0.25">
      <c r="A71" s="15" t="s">
        <v>110</v>
      </c>
      <c r="B71" s="1"/>
      <c r="C71" s="1"/>
      <c r="D71" s="18" t="s">
        <v>109</v>
      </c>
      <c r="E71" s="21">
        <f>E63-E64-E65-E66-E67+E69</f>
        <v>-2470000.0000000028</v>
      </c>
    </row>
    <row r="73" spans="1:5" x14ac:dyDescent="0.25">
      <c r="A73" t="s">
        <v>111</v>
      </c>
      <c r="B73" s="2">
        <f>F17-E17+E71</f>
        <v>-270000.00000000279</v>
      </c>
    </row>
    <row r="74" spans="1:5" x14ac:dyDescent="0.25">
      <c r="B74" s="7" t="s">
        <v>112</v>
      </c>
      <c r="C74" s="10"/>
    </row>
    <row r="76" spans="1:5" x14ac:dyDescent="0.25">
      <c r="A76" t="s">
        <v>113</v>
      </c>
      <c r="B76" s="5">
        <f>(B15+B73)/(B3*(1+B4))</f>
        <v>1.8253968253968034E-3</v>
      </c>
    </row>
    <row r="79" spans="1:5" x14ac:dyDescent="0.25">
      <c r="A79" t="s">
        <v>114</v>
      </c>
    </row>
  </sheetData>
  <pageMargins left="0.7" right="0.7" top="0.75" bottom="0.75" header="0.3" footer="0.3"/>
  <ignoredErrors>
    <ignoredError sqref="B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67" zoomScale="115" zoomScaleNormal="115" workbookViewId="0">
      <selection activeCell="A89" sqref="A89"/>
    </sheetView>
  </sheetViews>
  <sheetFormatPr baseColWidth="10" defaultRowHeight="15" x14ac:dyDescent="0.25"/>
  <cols>
    <col min="1" max="1" width="28.140625" customWidth="1"/>
    <col min="2" max="2" width="15" customWidth="1"/>
    <col min="3" max="3" width="15.7109375" customWidth="1"/>
    <col min="4" max="4" width="16" customWidth="1"/>
  </cols>
  <sheetData>
    <row r="1" spans="1:3" x14ac:dyDescent="0.25">
      <c r="A1" t="s">
        <v>115</v>
      </c>
    </row>
    <row r="3" spans="1:3" x14ac:dyDescent="0.25">
      <c r="A3" t="s">
        <v>143</v>
      </c>
    </row>
    <row r="5" spans="1:3" x14ac:dyDescent="0.25">
      <c r="A5" t="s">
        <v>116</v>
      </c>
    </row>
    <row r="6" spans="1:3" x14ac:dyDescent="0.25">
      <c r="A6" t="s">
        <v>117</v>
      </c>
      <c r="B6" s="23">
        <v>250000</v>
      </c>
    </row>
    <row r="7" spans="1:3" x14ac:dyDescent="0.25">
      <c r="A7" t="s">
        <v>118</v>
      </c>
      <c r="B7" s="2">
        <v>800</v>
      </c>
    </row>
    <row r="8" spans="1:3" x14ac:dyDescent="0.25">
      <c r="A8" t="s">
        <v>119</v>
      </c>
      <c r="B8" s="2"/>
    </row>
    <row r="9" spans="1:3" x14ac:dyDescent="0.25">
      <c r="A9" t="s">
        <v>120</v>
      </c>
      <c r="B9" s="2">
        <v>50</v>
      </c>
      <c r="C9" t="s">
        <v>121</v>
      </c>
    </row>
    <row r="10" spans="1:3" x14ac:dyDescent="0.25">
      <c r="A10" t="s">
        <v>122</v>
      </c>
      <c r="B10" s="2">
        <v>200</v>
      </c>
      <c r="C10" t="s">
        <v>121</v>
      </c>
    </row>
    <row r="11" spans="1:3" x14ac:dyDescent="0.25">
      <c r="A11" t="s">
        <v>123</v>
      </c>
      <c r="B11" s="2">
        <v>150</v>
      </c>
      <c r="C11" t="s">
        <v>121</v>
      </c>
    </row>
    <row r="12" spans="1:3" x14ac:dyDescent="0.25">
      <c r="A12" t="s">
        <v>124</v>
      </c>
      <c r="B12" s="2">
        <v>13</v>
      </c>
      <c r="C12" t="s">
        <v>121</v>
      </c>
    </row>
    <row r="13" spans="1:3" x14ac:dyDescent="0.25">
      <c r="B13" s="2"/>
    </row>
    <row r="14" spans="1:3" x14ac:dyDescent="0.25">
      <c r="A14" t="s">
        <v>125</v>
      </c>
      <c r="B14" s="2">
        <v>57470000</v>
      </c>
      <c r="C14" t="s">
        <v>126</v>
      </c>
    </row>
    <row r="15" spans="1:3" x14ac:dyDescent="0.25">
      <c r="A15" t="s">
        <v>127</v>
      </c>
      <c r="B15" s="2">
        <v>13812000</v>
      </c>
      <c r="C15" t="s">
        <v>126</v>
      </c>
    </row>
    <row r="16" spans="1:3" x14ac:dyDescent="0.25">
      <c r="A16" t="s">
        <v>128</v>
      </c>
      <c r="B16" s="2">
        <v>87000</v>
      </c>
      <c r="C16" t="s">
        <v>126</v>
      </c>
    </row>
    <row r="17" spans="1:4" x14ac:dyDescent="0.25">
      <c r="A17" t="s">
        <v>129</v>
      </c>
      <c r="B17" s="2">
        <v>12664000</v>
      </c>
      <c r="C17" t="s">
        <v>126</v>
      </c>
    </row>
    <row r="18" spans="1:4" x14ac:dyDescent="0.25">
      <c r="A18" t="s">
        <v>130</v>
      </c>
      <c r="B18" s="24">
        <v>0.27</v>
      </c>
    </row>
    <row r="20" spans="1:4" x14ac:dyDescent="0.25">
      <c r="A20" t="s">
        <v>131</v>
      </c>
    </row>
    <row r="21" spans="1:4" x14ac:dyDescent="0.25">
      <c r="A21" t="s">
        <v>132</v>
      </c>
      <c r="B21" s="2">
        <f>$B$6*B7</f>
        <v>200000000</v>
      </c>
    </row>
    <row r="22" spans="1:4" x14ac:dyDescent="0.25">
      <c r="A22" t="str">
        <f>A9</f>
        <v xml:space="preserve">Direkte material </v>
      </c>
      <c r="B22" s="2">
        <f>$B$6*B9</f>
        <v>12500000</v>
      </c>
    </row>
    <row r="23" spans="1:4" x14ac:dyDescent="0.25">
      <c r="A23" t="str">
        <f t="shared" ref="A23:A25" si="0">A10</f>
        <v>Direkte lønn</v>
      </c>
      <c r="B23" s="2">
        <f t="shared" ref="B23:B25" si="1">$B$6*B10</f>
        <v>50000000</v>
      </c>
    </row>
    <row r="24" spans="1:4" x14ac:dyDescent="0.25">
      <c r="A24" t="str">
        <f t="shared" si="0"/>
        <v>Indir var tilv.kostn.</v>
      </c>
      <c r="B24" s="2">
        <f t="shared" si="1"/>
        <v>37500000</v>
      </c>
      <c r="C24" s="2"/>
    </row>
    <row r="25" spans="1:4" x14ac:dyDescent="0.25">
      <c r="A25" s="1" t="str">
        <f t="shared" si="0"/>
        <v>Selgerkostnader</v>
      </c>
      <c r="B25" s="4">
        <f t="shared" si="1"/>
        <v>3250000</v>
      </c>
    </row>
    <row r="26" spans="1:4" x14ac:dyDescent="0.25">
      <c r="A26" t="s">
        <v>133</v>
      </c>
      <c r="B26" s="2">
        <f>B21-SUM(B22:B25)</f>
        <v>96750000</v>
      </c>
    </row>
    <row r="27" spans="1:4" x14ac:dyDescent="0.25">
      <c r="A27" t="s">
        <v>134</v>
      </c>
      <c r="B27" s="2">
        <f>B14</f>
        <v>57470000</v>
      </c>
    </row>
    <row r="28" spans="1:4" x14ac:dyDescent="0.25">
      <c r="A28" s="1" t="s">
        <v>127</v>
      </c>
      <c r="B28" s="4">
        <f>B15</f>
        <v>13812000</v>
      </c>
    </row>
    <row r="29" spans="1:4" x14ac:dyDescent="0.25">
      <c r="A29" s="25" t="s">
        <v>2</v>
      </c>
      <c r="B29" s="2">
        <f>B26-B27-B28</f>
        <v>25468000</v>
      </c>
    </row>
    <row r="30" spans="1:4" x14ac:dyDescent="0.25">
      <c r="A30" t="str">
        <f>A16</f>
        <v>Renteinntekter</v>
      </c>
      <c r="B30" s="2">
        <f>B16</f>
        <v>87000</v>
      </c>
    </row>
    <row r="31" spans="1:4" x14ac:dyDescent="0.25">
      <c r="A31" s="1" t="str">
        <f>A17</f>
        <v>Rentekostnader</v>
      </c>
      <c r="B31" s="4">
        <f>B17</f>
        <v>12664000</v>
      </c>
      <c r="D31" s="2"/>
    </row>
    <row r="32" spans="1:4" x14ac:dyDescent="0.25">
      <c r="A32" s="25" t="s">
        <v>135</v>
      </c>
      <c r="B32" s="2">
        <f>B29+B30-B31</f>
        <v>12891000</v>
      </c>
    </row>
    <row r="33" spans="1:4" x14ac:dyDescent="0.25">
      <c r="A33" s="26" t="s">
        <v>136</v>
      </c>
      <c r="B33" s="4">
        <f>B18*B32</f>
        <v>3480570</v>
      </c>
    </row>
    <row r="34" spans="1:4" x14ac:dyDescent="0.25">
      <c r="A34" s="25" t="s">
        <v>137</v>
      </c>
      <c r="B34" s="2">
        <f>B32-B33</f>
        <v>9410430</v>
      </c>
      <c r="D34" s="2"/>
    </row>
    <row r="35" spans="1:4" x14ac:dyDescent="0.25">
      <c r="B35" s="2"/>
    </row>
    <row r="36" spans="1:4" x14ac:dyDescent="0.25">
      <c r="B36" s="2"/>
    </row>
    <row r="37" spans="1:4" x14ac:dyDescent="0.25">
      <c r="A37" t="s">
        <v>138</v>
      </c>
      <c r="B37" s="2"/>
    </row>
    <row r="38" spans="1:4" x14ac:dyDescent="0.25">
      <c r="A38" t="s">
        <v>139</v>
      </c>
      <c r="B38" s="22">
        <f>B26/B21</f>
        <v>0.48375000000000001</v>
      </c>
    </row>
    <row r="39" spans="1:4" x14ac:dyDescent="0.25">
      <c r="A39" t="s">
        <v>140</v>
      </c>
      <c r="B39" s="2">
        <f>(B27+B28+B31-B30)/B38</f>
        <v>173351937.98449612</v>
      </c>
    </row>
    <row r="40" spans="1:4" x14ac:dyDescent="0.25">
      <c r="A40" t="s">
        <v>141</v>
      </c>
      <c r="B40" s="23">
        <f>B39/B7</f>
        <v>216689.92248062015</v>
      </c>
      <c r="C40" t="s">
        <v>142</v>
      </c>
    </row>
    <row r="41" spans="1:4" x14ac:dyDescent="0.25">
      <c r="B41" s="2"/>
    </row>
    <row r="42" spans="1:4" x14ac:dyDescent="0.25">
      <c r="A42" t="s">
        <v>144</v>
      </c>
      <c r="B42" s="2"/>
    </row>
    <row r="43" spans="1:4" x14ac:dyDescent="0.25">
      <c r="A43" s="1" t="s">
        <v>148</v>
      </c>
      <c r="B43" s="1"/>
    </row>
    <row r="44" spans="1:4" x14ac:dyDescent="0.25">
      <c r="A44" s="25" t="s">
        <v>145</v>
      </c>
      <c r="B44" s="2">
        <v>12000000</v>
      </c>
    </row>
    <row r="45" spans="1:4" x14ac:dyDescent="0.25">
      <c r="A45" s="25" t="s">
        <v>146</v>
      </c>
      <c r="B45" s="2">
        <v>16000000</v>
      </c>
    </row>
    <row r="46" spans="1:4" x14ac:dyDescent="0.25">
      <c r="A46" s="25" t="s">
        <v>147</v>
      </c>
      <c r="B46" s="2">
        <v>20000000</v>
      </c>
    </row>
    <row r="48" spans="1:4" x14ac:dyDescent="0.25">
      <c r="A48" t="s">
        <v>149</v>
      </c>
      <c r="B48" s="3">
        <v>0.5</v>
      </c>
    </row>
    <row r="49" spans="1:4" x14ac:dyDescent="0.25">
      <c r="A49" t="s">
        <v>150</v>
      </c>
      <c r="B49" s="3">
        <v>0.3</v>
      </c>
    </row>
    <row r="50" spans="1:4" x14ac:dyDescent="0.25">
      <c r="A50" t="s">
        <v>151</v>
      </c>
      <c r="B50" s="3">
        <v>0.2</v>
      </c>
    </row>
    <row r="51" spans="1:4" x14ac:dyDescent="0.25">
      <c r="A51" t="s">
        <v>152</v>
      </c>
      <c r="B51" s="2">
        <v>17612000</v>
      </c>
    </row>
    <row r="52" spans="1:4" x14ac:dyDescent="0.25">
      <c r="A52" t="s">
        <v>153</v>
      </c>
      <c r="B52" s="3">
        <v>0.7</v>
      </c>
    </row>
    <row r="53" spans="1:4" x14ac:dyDescent="0.25">
      <c r="A53" t="s">
        <v>154</v>
      </c>
      <c r="B53" s="3">
        <v>0.3</v>
      </c>
    </row>
    <row r="55" spans="1:4" x14ac:dyDescent="0.25">
      <c r="A55" s="1" t="s">
        <v>159</v>
      </c>
      <c r="B55" s="1" t="s">
        <v>145</v>
      </c>
      <c r="C55" s="1" t="s">
        <v>146</v>
      </c>
      <c r="D55" s="1" t="s">
        <v>147</v>
      </c>
    </row>
    <row r="56" spans="1:4" x14ac:dyDescent="0.25">
      <c r="A56" t="s">
        <v>155</v>
      </c>
      <c r="B56" s="2">
        <f>B44</f>
        <v>12000000</v>
      </c>
      <c r="C56" s="2">
        <f>B45</f>
        <v>16000000</v>
      </c>
      <c r="D56" s="2">
        <f>B46</f>
        <v>20000000</v>
      </c>
    </row>
    <row r="57" spans="1:4" x14ac:dyDescent="0.25">
      <c r="A57" t="s">
        <v>159</v>
      </c>
    </row>
    <row r="58" spans="1:4" x14ac:dyDescent="0.25">
      <c r="A58" t="s">
        <v>156</v>
      </c>
      <c r="B58" s="2">
        <f>B48*B56</f>
        <v>6000000</v>
      </c>
      <c r="C58" s="2">
        <f>B49*B56</f>
        <v>3600000</v>
      </c>
      <c r="D58" s="2">
        <f>B56*B50</f>
        <v>2400000</v>
      </c>
    </row>
    <row r="59" spans="1:4" x14ac:dyDescent="0.25">
      <c r="A59" t="s">
        <v>157</v>
      </c>
      <c r="C59" s="2">
        <f>B48*C56</f>
        <v>8000000</v>
      </c>
      <c r="D59" s="2">
        <f>C56*B49</f>
        <v>4800000</v>
      </c>
    </row>
    <row r="60" spans="1:4" x14ac:dyDescent="0.25">
      <c r="A60" t="s">
        <v>158</v>
      </c>
      <c r="D60" s="2">
        <f>D56*B48</f>
        <v>10000000</v>
      </c>
    </row>
    <row r="61" spans="1:4" x14ac:dyDescent="0.25">
      <c r="A61" s="1" t="s">
        <v>51</v>
      </c>
      <c r="B61" s="4">
        <f>B52*B51</f>
        <v>12328400</v>
      </c>
      <c r="C61" s="4">
        <f>B53*B51</f>
        <v>5283600</v>
      </c>
      <c r="D61" s="1"/>
    </row>
    <row r="62" spans="1:4" x14ac:dyDescent="0.25">
      <c r="A62" s="25" t="s">
        <v>160</v>
      </c>
      <c r="B62" s="2">
        <f>SUM(B58:B61)</f>
        <v>18328400</v>
      </c>
      <c r="C62" s="2">
        <f t="shared" ref="C62:D62" si="2">SUM(C58:C61)</f>
        <v>16883600</v>
      </c>
      <c r="D62" s="2">
        <f t="shared" si="2"/>
        <v>17200000</v>
      </c>
    </row>
    <row r="65" spans="1:4" x14ac:dyDescent="0.25">
      <c r="A65" t="s">
        <v>138</v>
      </c>
    </row>
    <row r="66" spans="1:4" x14ac:dyDescent="0.25">
      <c r="A66" t="s">
        <v>162</v>
      </c>
    </row>
    <row r="67" spans="1:4" x14ac:dyDescent="0.25">
      <c r="A67" t="s">
        <v>163</v>
      </c>
      <c r="C67" s="2">
        <v>1594000</v>
      </c>
      <c r="D67" s="2"/>
    </row>
    <row r="68" spans="1:4" x14ac:dyDescent="0.25">
      <c r="A68" t="s">
        <v>164</v>
      </c>
      <c r="B68" s="24">
        <v>0.8</v>
      </c>
      <c r="C68" t="s">
        <v>165</v>
      </c>
    </row>
    <row r="69" spans="1:4" x14ac:dyDescent="0.25">
      <c r="A69" t="s">
        <v>166</v>
      </c>
      <c r="C69" s="2">
        <v>890000</v>
      </c>
    </row>
    <row r="70" spans="1:4" x14ac:dyDescent="0.25">
      <c r="A70" t="s">
        <v>161</v>
      </c>
    </row>
    <row r="71" spans="1:4" x14ac:dyDescent="0.25">
      <c r="A71" t="s">
        <v>167</v>
      </c>
      <c r="C71" s="2">
        <v>586000</v>
      </c>
      <c r="D71" s="2"/>
    </row>
    <row r="72" spans="1:4" x14ac:dyDescent="0.25">
      <c r="C72" s="2"/>
      <c r="D72" s="2"/>
    </row>
    <row r="73" spans="1:4" x14ac:dyDescent="0.25">
      <c r="A73" s="1"/>
      <c r="B73" s="1" t="s">
        <v>145</v>
      </c>
      <c r="C73" s="1" t="s">
        <v>146</v>
      </c>
      <c r="D73" s="1" t="s">
        <v>147</v>
      </c>
    </row>
    <row r="74" spans="1:4" x14ac:dyDescent="0.25">
      <c r="A74" s="25" t="s">
        <v>177</v>
      </c>
      <c r="B74" s="23">
        <f>B56/$B$7</f>
        <v>15000</v>
      </c>
      <c r="C74" s="23">
        <f t="shared" ref="C74:D74" si="3">C56/$B$7</f>
        <v>20000</v>
      </c>
      <c r="D74" s="23">
        <f t="shared" si="3"/>
        <v>25000</v>
      </c>
    </row>
    <row r="75" spans="1:4" x14ac:dyDescent="0.25">
      <c r="A75" s="25"/>
      <c r="C75" s="2"/>
      <c r="D75" s="2"/>
    </row>
    <row r="77" spans="1:4" x14ac:dyDescent="0.25">
      <c r="A77" s="1" t="s">
        <v>168</v>
      </c>
      <c r="B77" s="1" t="s">
        <v>145</v>
      </c>
      <c r="C77" s="1" t="s">
        <v>146</v>
      </c>
      <c r="D77" s="1" t="s">
        <v>147</v>
      </c>
    </row>
    <row r="78" spans="1:4" x14ac:dyDescent="0.25">
      <c r="A78" t="s">
        <v>54</v>
      </c>
      <c r="B78" s="2">
        <f>C67</f>
        <v>1594000</v>
      </c>
      <c r="C78" s="2"/>
      <c r="D78" s="2"/>
    </row>
    <row r="79" spans="1:4" x14ac:dyDescent="0.25">
      <c r="A79" t="s">
        <v>169</v>
      </c>
      <c r="C79" s="2">
        <f>$B$22/12</f>
        <v>1041666.6666666666</v>
      </c>
      <c r="D79" s="2">
        <f>$B$22/12</f>
        <v>1041666.6666666666</v>
      </c>
    </row>
    <row r="80" spans="1:4" x14ac:dyDescent="0.25">
      <c r="A80" t="s">
        <v>170</v>
      </c>
      <c r="B80" s="2">
        <f>C69</f>
        <v>890000</v>
      </c>
      <c r="C80" s="2">
        <f>(1-$B$68)*$B$23/12</f>
        <v>833333.33333333314</v>
      </c>
      <c r="D80" s="2">
        <f>(1-$B$68)*$B$23/12</f>
        <v>833333.33333333314</v>
      </c>
    </row>
    <row r="81" spans="1:4" x14ac:dyDescent="0.25">
      <c r="A81" t="s">
        <v>171</v>
      </c>
      <c r="B81" s="2">
        <f>$B$68*$B$23/12</f>
        <v>3333333.3333333335</v>
      </c>
      <c r="C81" s="2">
        <f t="shared" ref="C81:D81" si="4">$B$68*$B$23/12</f>
        <v>3333333.3333333335</v>
      </c>
      <c r="D81" s="2">
        <f t="shared" si="4"/>
        <v>3333333.3333333335</v>
      </c>
    </row>
    <row r="82" spans="1:4" x14ac:dyDescent="0.25">
      <c r="A82" t="s">
        <v>172</v>
      </c>
      <c r="B82" s="2">
        <f>B74*$B$12</f>
        <v>195000</v>
      </c>
      <c r="C82" s="2">
        <f t="shared" ref="C82:D82" si="5">C74*$B$12</f>
        <v>260000</v>
      </c>
      <c r="D82" s="2">
        <f t="shared" si="5"/>
        <v>325000</v>
      </c>
    </row>
    <row r="83" spans="1:4" x14ac:dyDescent="0.25">
      <c r="A83" s="1" t="s">
        <v>173</v>
      </c>
      <c r="B83" s="4">
        <f>($B$24+$B$27+$B$31-$B$30)/12</f>
        <v>8962250</v>
      </c>
      <c r="C83" s="4">
        <f t="shared" ref="C83:D83" si="6">($B$24+$B$27+$B$31-$B$30)/12</f>
        <v>8962250</v>
      </c>
      <c r="D83" s="4">
        <f t="shared" si="6"/>
        <v>8962250</v>
      </c>
    </row>
    <row r="84" spans="1:4" x14ac:dyDescent="0.25">
      <c r="A84" t="s">
        <v>174</v>
      </c>
      <c r="B84" s="2">
        <f>SUM(B78:B83)</f>
        <v>14974583.333333334</v>
      </c>
      <c r="C84" s="2">
        <f t="shared" ref="C84:D84" si="7">SUM(C78:C83)</f>
        <v>14430583.333333332</v>
      </c>
      <c r="D84" s="2">
        <f t="shared" si="7"/>
        <v>14495583.333333332</v>
      </c>
    </row>
    <row r="85" spans="1:4" x14ac:dyDescent="0.25">
      <c r="B85" s="2"/>
      <c r="C85" s="2"/>
      <c r="D85" s="2"/>
    </row>
    <row r="86" spans="1:4" x14ac:dyDescent="0.25">
      <c r="A86" t="s">
        <v>178</v>
      </c>
      <c r="B86" s="2">
        <f>B62-B84</f>
        <v>3353816.666666666</v>
      </c>
      <c r="C86" s="2">
        <f t="shared" ref="C86:D86" si="8">C62-C84</f>
        <v>2453016.6666666679</v>
      </c>
      <c r="D86" s="2">
        <f t="shared" si="8"/>
        <v>2704416.6666666679</v>
      </c>
    </row>
    <row r="87" spans="1:4" x14ac:dyDescent="0.25">
      <c r="A87" t="s">
        <v>175</v>
      </c>
      <c r="B87" s="2">
        <f>C71</f>
        <v>586000</v>
      </c>
      <c r="C87" s="2">
        <f>B88</f>
        <v>3939816.666666666</v>
      </c>
      <c r="D87" s="2">
        <f>C88</f>
        <v>6392833.333333334</v>
      </c>
    </row>
    <row r="88" spans="1:4" x14ac:dyDescent="0.25">
      <c r="A88" t="s">
        <v>176</v>
      </c>
      <c r="B88" s="2">
        <f>B87+B86</f>
        <v>3939816.666666666</v>
      </c>
      <c r="C88" s="2">
        <f t="shared" ref="C88:D88" si="9">C87+C86</f>
        <v>6392833.333333334</v>
      </c>
      <c r="D88" s="2">
        <f t="shared" si="9"/>
        <v>9097250.0000000019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B1" sqref="B1"/>
    </sheetView>
  </sheetViews>
  <sheetFormatPr baseColWidth="10" defaultRowHeight="15" x14ac:dyDescent="0.25"/>
  <cols>
    <col min="1" max="1" width="22.42578125" customWidth="1"/>
    <col min="2" max="2" width="15.7109375" customWidth="1"/>
    <col min="3" max="3" width="15.85546875" customWidth="1"/>
    <col min="4" max="4" width="16.5703125" customWidth="1"/>
    <col min="5" max="5" width="18" customWidth="1"/>
  </cols>
  <sheetData>
    <row r="1" spans="1:7" x14ac:dyDescent="0.25">
      <c r="A1" t="s">
        <v>179</v>
      </c>
    </row>
    <row r="3" spans="1:7" x14ac:dyDescent="0.25">
      <c r="A3" s="1" t="s">
        <v>183</v>
      </c>
      <c r="B3" s="1"/>
      <c r="C3" s="1"/>
      <c r="D3" s="1"/>
      <c r="E3" s="1"/>
    </row>
    <row r="4" spans="1:7" x14ac:dyDescent="0.25">
      <c r="A4" t="s">
        <v>45</v>
      </c>
      <c r="D4" t="s">
        <v>180</v>
      </c>
    </row>
    <row r="5" spans="1:7" x14ac:dyDescent="0.25">
      <c r="A5" t="s">
        <v>51</v>
      </c>
      <c r="B5" s="2">
        <v>576000</v>
      </c>
      <c r="C5" s="2"/>
      <c r="D5" t="s">
        <v>181</v>
      </c>
      <c r="E5" s="2">
        <v>300000</v>
      </c>
    </row>
    <row r="6" spans="1:7" x14ac:dyDescent="0.25">
      <c r="A6" t="s">
        <v>182</v>
      </c>
      <c r="B6" s="2">
        <v>20000</v>
      </c>
      <c r="C6" s="2"/>
      <c r="D6" t="s">
        <v>63</v>
      </c>
      <c r="E6" s="2">
        <v>100000</v>
      </c>
      <c r="F6" s="34" t="s">
        <v>249</v>
      </c>
      <c r="G6" s="2">
        <v>200000</v>
      </c>
    </row>
    <row r="7" spans="1:7" x14ac:dyDescent="0.25">
      <c r="D7" t="s">
        <v>54</v>
      </c>
      <c r="E7" s="2">
        <v>720000</v>
      </c>
    </row>
    <row r="8" spans="1:7" x14ac:dyDescent="0.25">
      <c r="D8" t="s">
        <v>184</v>
      </c>
      <c r="E8" s="2">
        <v>18000</v>
      </c>
    </row>
    <row r="9" spans="1:7" x14ac:dyDescent="0.25">
      <c r="D9" t="s">
        <v>185</v>
      </c>
      <c r="E9" s="2">
        <v>80000</v>
      </c>
    </row>
    <row r="10" spans="1:7" x14ac:dyDescent="0.25">
      <c r="D10" t="s">
        <v>186</v>
      </c>
      <c r="E10" s="2">
        <v>7875</v>
      </c>
    </row>
    <row r="12" spans="1:7" x14ac:dyDescent="0.25">
      <c r="A12" t="s">
        <v>187</v>
      </c>
    </row>
    <row r="13" spans="1:7" x14ac:dyDescent="0.25">
      <c r="A13" t="s">
        <v>145</v>
      </c>
      <c r="B13" s="2">
        <v>576000</v>
      </c>
    </row>
    <row r="14" spans="1:7" x14ac:dyDescent="0.25">
      <c r="A14" t="s">
        <v>146</v>
      </c>
      <c r="B14" s="2">
        <v>633600</v>
      </c>
      <c r="D14" t="s">
        <v>188</v>
      </c>
      <c r="E14" s="3">
        <v>0.2</v>
      </c>
    </row>
    <row r="15" spans="1:7" x14ac:dyDescent="0.25">
      <c r="A15" t="s">
        <v>147</v>
      </c>
      <c r="B15" s="2">
        <v>864000</v>
      </c>
      <c r="D15" t="s">
        <v>189</v>
      </c>
      <c r="E15" s="3">
        <v>0.8</v>
      </c>
      <c r="F15" t="s">
        <v>192</v>
      </c>
    </row>
    <row r="16" spans="1:7" x14ac:dyDescent="0.25">
      <c r="D16" t="s">
        <v>190</v>
      </c>
      <c r="E16" s="3">
        <v>0.25</v>
      </c>
    </row>
    <row r="19" spans="1:5" x14ac:dyDescent="0.25">
      <c r="A19" s="1" t="s">
        <v>191</v>
      </c>
      <c r="B19" s="28" t="s">
        <v>145</v>
      </c>
      <c r="C19" s="28" t="s">
        <v>146</v>
      </c>
      <c r="D19" s="28" t="s">
        <v>147</v>
      </c>
      <c r="E19" s="1" t="s">
        <v>193</v>
      </c>
    </row>
    <row r="20" spans="1:5" x14ac:dyDescent="0.25">
      <c r="A20" t="s">
        <v>51</v>
      </c>
      <c r="B20" s="2">
        <f>B5</f>
        <v>576000</v>
      </c>
      <c r="C20" s="2"/>
      <c r="D20" s="2"/>
      <c r="E20" s="2"/>
    </row>
    <row r="21" spans="1:5" x14ac:dyDescent="0.25">
      <c r="A21" t="s">
        <v>197</v>
      </c>
      <c r="B21" s="2"/>
      <c r="C21" s="2"/>
      <c r="D21" s="2"/>
      <c r="E21" s="2"/>
    </row>
    <row r="22" spans="1:5" x14ac:dyDescent="0.25">
      <c r="A22" t="s">
        <v>194</v>
      </c>
      <c r="B22" s="2">
        <f>E14*B13*(1+$E$16)</f>
        <v>144000</v>
      </c>
      <c r="C22" s="2"/>
      <c r="D22" s="2"/>
      <c r="E22" s="2"/>
    </row>
    <row r="23" spans="1:5" x14ac:dyDescent="0.25">
      <c r="A23" t="s">
        <v>195</v>
      </c>
      <c r="B23" s="2"/>
      <c r="C23" s="2">
        <f>B13*E15*(1+$E$16)</f>
        <v>576000</v>
      </c>
      <c r="D23" s="2"/>
      <c r="E23" s="2"/>
    </row>
    <row r="24" spans="1:5" x14ac:dyDescent="0.25">
      <c r="A24" t="s">
        <v>196</v>
      </c>
      <c r="B24" s="2"/>
      <c r="C24" s="2"/>
      <c r="D24" s="2"/>
      <c r="E24" s="2"/>
    </row>
    <row r="25" spans="1:5" x14ac:dyDescent="0.25">
      <c r="A25" t="s">
        <v>194</v>
      </c>
      <c r="B25" s="2"/>
      <c r="C25" s="2">
        <f>B14*E14*(1+$E$16)</f>
        <v>158400</v>
      </c>
      <c r="D25" s="2"/>
      <c r="E25" s="2"/>
    </row>
    <row r="26" spans="1:5" x14ac:dyDescent="0.25">
      <c r="A26" t="s">
        <v>195</v>
      </c>
      <c r="B26" s="2"/>
      <c r="C26" s="2"/>
      <c r="D26" s="2">
        <f>B14*E15*(1+$E$16)</f>
        <v>633600</v>
      </c>
      <c r="E26" s="2"/>
    </row>
    <row r="27" spans="1:5" x14ac:dyDescent="0.25">
      <c r="A27" t="s">
        <v>198</v>
      </c>
      <c r="B27" s="2"/>
      <c r="C27" s="2"/>
      <c r="D27" s="2"/>
      <c r="E27" s="2"/>
    </row>
    <row r="28" spans="1:5" x14ac:dyDescent="0.25">
      <c r="A28" t="s">
        <v>194</v>
      </c>
      <c r="B28" s="2"/>
      <c r="C28" s="2"/>
      <c r="D28" s="2">
        <f>B15*E14*(1+$E$16)</f>
        <v>216000</v>
      </c>
      <c r="E28" s="2"/>
    </row>
    <row r="29" spans="1:5" x14ac:dyDescent="0.25">
      <c r="A29" s="1" t="s">
        <v>195</v>
      </c>
      <c r="B29" s="4"/>
      <c r="C29" s="4"/>
      <c r="D29" s="4"/>
      <c r="E29" s="4">
        <f>B15*E15*(1+$E$16)</f>
        <v>864000</v>
      </c>
    </row>
    <row r="30" spans="1:5" x14ac:dyDescent="0.25">
      <c r="A30" s="29" t="s">
        <v>160</v>
      </c>
      <c r="B30" s="30">
        <f>SUM(B20:B29)</f>
        <v>720000</v>
      </c>
      <c r="C30" s="30">
        <f t="shared" ref="C30:E30" si="0">SUM(C20:C29)</f>
        <v>734400</v>
      </c>
      <c r="D30" s="30">
        <f t="shared" si="0"/>
        <v>849600</v>
      </c>
      <c r="E30" s="30">
        <f t="shared" si="0"/>
        <v>864000</v>
      </c>
    </row>
    <row r="31" spans="1:5" x14ac:dyDescent="0.25">
      <c r="B31" s="2"/>
      <c r="C31" s="2"/>
      <c r="D31" s="2"/>
      <c r="E31" s="2"/>
    </row>
    <row r="32" spans="1:5" x14ac:dyDescent="0.25">
      <c r="B32" s="2"/>
      <c r="C32" s="2"/>
      <c r="D32" s="2"/>
      <c r="E32" s="2"/>
    </row>
    <row r="33" spans="1:5" x14ac:dyDescent="0.25">
      <c r="A33" t="s">
        <v>199</v>
      </c>
      <c r="B33" s="31">
        <v>0.25</v>
      </c>
      <c r="C33" s="2" t="s">
        <v>200</v>
      </c>
      <c r="D33" s="2"/>
      <c r="E33" s="2"/>
    </row>
    <row r="34" spans="1:5" x14ac:dyDescent="0.25">
      <c r="A34" t="s">
        <v>201</v>
      </c>
      <c r="B34" s="2"/>
      <c r="C34" s="2"/>
      <c r="D34" s="2"/>
      <c r="E34" s="2"/>
    </row>
    <row r="35" spans="1:5" x14ac:dyDescent="0.25">
      <c r="A35" t="s">
        <v>202</v>
      </c>
      <c r="B35" s="2">
        <v>20000</v>
      </c>
      <c r="C35" s="2"/>
      <c r="D35" s="2"/>
      <c r="E35" s="2"/>
    </row>
    <row r="36" spans="1:5" x14ac:dyDescent="0.25">
      <c r="A36" t="s">
        <v>203</v>
      </c>
      <c r="B36" s="2">
        <v>20000</v>
      </c>
      <c r="C36" s="2"/>
      <c r="D36" s="2"/>
      <c r="E36" s="2"/>
    </row>
    <row r="37" spans="1:5" x14ac:dyDescent="0.25">
      <c r="A37" t="s">
        <v>204</v>
      </c>
      <c r="B37" s="2">
        <v>10000</v>
      </c>
      <c r="C37" s="2"/>
      <c r="D37" s="2"/>
      <c r="E37" s="2"/>
    </row>
    <row r="38" spans="1:5" x14ac:dyDescent="0.25">
      <c r="B38" s="2"/>
      <c r="C38" s="2"/>
      <c r="D38" s="2"/>
      <c r="E38" s="2"/>
    </row>
    <row r="39" spans="1:5" x14ac:dyDescent="0.25">
      <c r="A39" t="s">
        <v>206</v>
      </c>
      <c r="B39" s="2"/>
      <c r="C39" s="2"/>
      <c r="D39" s="2"/>
      <c r="E39" s="2"/>
    </row>
    <row r="40" spans="1:5" x14ac:dyDescent="0.25">
      <c r="A40" t="s">
        <v>205</v>
      </c>
      <c r="B40" s="2">
        <v>345600</v>
      </c>
      <c r="C40" s="2"/>
      <c r="D40" s="2"/>
      <c r="E40" s="2"/>
    </row>
    <row r="41" spans="1:5" x14ac:dyDescent="0.25">
      <c r="A41" t="s">
        <v>207</v>
      </c>
      <c r="B41" s="2">
        <v>403200</v>
      </c>
    </row>
    <row r="42" spans="1:5" x14ac:dyDescent="0.25">
      <c r="B42" s="2"/>
    </row>
    <row r="43" spans="1:5" x14ac:dyDescent="0.25">
      <c r="A43" t="s">
        <v>138</v>
      </c>
    </row>
    <row r="44" spans="1:5" x14ac:dyDescent="0.25">
      <c r="A44" s="1"/>
      <c r="B44" s="28" t="s">
        <v>145</v>
      </c>
      <c r="C44" s="28" t="s">
        <v>146</v>
      </c>
      <c r="D44" s="28" t="s">
        <v>147</v>
      </c>
    </row>
    <row r="45" spans="1:5" x14ac:dyDescent="0.25">
      <c r="A45" s="25" t="s">
        <v>209</v>
      </c>
      <c r="B45" s="2">
        <f>B13/(1+$E$16)</f>
        <v>460800</v>
      </c>
      <c r="C45" s="2">
        <f>B14/(1+$E$16)</f>
        <v>506880</v>
      </c>
      <c r="D45" s="2">
        <f>B15/(1+$E$16)</f>
        <v>691200</v>
      </c>
    </row>
    <row r="46" spans="1:5" x14ac:dyDescent="0.25">
      <c r="A46" s="1" t="s">
        <v>208</v>
      </c>
      <c r="B46" s="4">
        <f>B35</f>
        <v>20000</v>
      </c>
      <c r="C46" s="4">
        <f>B36</f>
        <v>20000</v>
      </c>
      <c r="D46" s="4">
        <f>-B37</f>
        <v>-10000</v>
      </c>
    </row>
    <row r="47" spans="1:5" x14ac:dyDescent="0.25">
      <c r="A47" s="29" t="s">
        <v>210</v>
      </c>
      <c r="B47" s="30">
        <f>SUM(B45:B46)</f>
        <v>480800</v>
      </c>
      <c r="C47" s="30">
        <f t="shared" ref="C47:D47" si="1">SUM(C45:C46)</f>
        <v>526880</v>
      </c>
      <c r="D47" s="30">
        <f t="shared" si="1"/>
        <v>681200</v>
      </c>
    </row>
    <row r="50" spans="1:5" x14ac:dyDescent="0.25">
      <c r="A50" s="1" t="s">
        <v>211</v>
      </c>
      <c r="B50" s="28" t="s">
        <v>145</v>
      </c>
      <c r="C50" s="28" t="s">
        <v>146</v>
      </c>
      <c r="D50" s="28" t="s">
        <v>147</v>
      </c>
      <c r="E50" s="28" t="s">
        <v>217</v>
      </c>
    </row>
    <row r="51" spans="1:5" x14ac:dyDescent="0.25">
      <c r="A51" t="s">
        <v>212</v>
      </c>
      <c r="B51" s="2">
        <f>$B$40*(1+$E$16)/2</f>
        <v>216000</v>
      </c>
      <c r="C51" s="2"/>
      <c r="D51" s="2"/>
    </row>
    <row r="52" spans="1:5" x14ac:dyDescent="0.25">
      <c r="A52" t="s">
        <v>213</v>
      </c>
      <c r="B52" s="2">
        <f>$B$41*(1+$E$16)/2</f>
        <v>252000</v>
      </c>
      <c r="C52" s="2">
        <f>$B$41*(1+$E$16)/2</f>
        <v>252000</v>
      </c>
      <c r="D52" s="2"/>
    </row>
    <row r="53" spans="1:5" x14ac:dyDescent="0.25">
      <c r="A53" t="s">
        <v>214</v>
      </c>
      <c r="B53" s="2"/>
      <c r="C53" s="2">
        <f>$B$47*(1+$E$16)/2</f>
        <v>300500</v>
      </c>
      <c r="D53" s="2">
        <f>$B$47*(1+$E$16)/2</f>
        <v>300500</v>
      </c>
    </row>
    <row r="54" spans="1:5" x14ac:dyDescent="0.25">
      <c r="A54" t="s">
        <v>215</v>
      </c>
      <c r="B54" s="2"/>
      <c r="C54" s="2"/>
      <c r="D54" s="2">
        <f>$C$47*(1+$E$16)/2</f>
        <v>329300</v>
      </c>
      <c r="E54" s="2">
        <f>$C$47*(1+$E$16)/2</f>
        <v>329300</v>
      </c>
    </row>
    <row r="55" spans="1:5" x14ac:dyDescent="0.25">
      <c r="A55" s="1" t="s">
        <v>216</v>
      </c>
      <c r="B55" s="4"/>
      <c r="C55" s="4"/>
      <c r="D55" s="4"/>
      <c r="E55" s="4">
        <f>$D$47*(1+$E$16)</f>
        <v>851500</v>
      </c>
    </row>
    <row r="56" spans="1:5" x14ac:dyDescent="0.25">
      <c r="A56" s="29" t="s">
        <v>174</v>
      </c>
      <c r="B56" s="30">
        <f>SUM(B51:B55)</f>
        <v>468000</v>
      </c>
      <c r="C56" s="30">
        <f t="shared" ref="C56:E56" si="2">SUM(C51:C55)</f>
        <v>552500</v>
      </c>
      <c r="D56" s="30">
        <f t="shared" si="2"/>
        <v>629800</v>
      </c>
      <c r="E56" s="30">
        <f t="shared" si="2"/>
        <v>1180800</v>
      </c>
    </row>
    <row r="59" spans="1:5" x14ac:dyDescent="0.25">
      <c r="A59" t="s">
        <v>219</v>
      </c>
      <c r="B59" s="2">
        <v>50000</v>
      </c>
      <c r="C59" t="s">
        <v>220</v>
      </c>
    </row>
    <row r="60" spans="1:5" x14ac:dyDescent="0.25">
      <c r="A60" t="s">
        <v>221</v>
      </c>
      <c r="B60" s="32">
        <v>0.14099999999999999</v>
      </c>
      <c r="C60" t="s">
        <v>222</v>
      </c>
    </row>
    <row r="61" spans="1:5" x14ac:dyDescent="0.25">
      <c r="A61" t="s">
        <v>223</v>
      </c>
    </row>
    <row r="62" spans="1:5" x14ac:dyDescent="0.25">
      <c r="A62" t="s">
        <v>224</v>
      </c>
    </row>
    <row r="63" spans="1:5" x14ac:dyDescent="0.25">
      <c r="A63" t="s">
        <v>225</v>
      </c>
    </row>
    <row r="64" spans="1:5" x14ac:dyDescent="0.25">
      <c r="A64" t="s">
        <v>226</v>
      </c>
      <c r="D64" s="2">
        <v>60000</v>
      </c>
    </row>
    <row r="65" spans="1:5" x14ac:dyDescent="0.25">
      <c r="A65" t="s">
        <v>227</v>
      </c>
      <c r="B65" s="2">
        <v>10000</v>
      </c>
      <c r="C65" t="s">
        <v>228</v>
      </c>
      <c r="D65" s="2"/>
    </row>
    <row r="66" spans="1:5" x14ac:dyDescent="0.25">
      <c r="A66" t="s">
        <v>229</v>
      </c>
      <c r="B66" s="2">
        <v>30000</v>
      </c>
      <c r="C66" t="s">
        <v>230</v>
      </c>
      <c r="D66" s="2"/>
    </row>
    <row r="67" spans="1:5" x14ac:dyDescent="0.25">
      <c r="A67" t="s">
        <v>231</v>
      </c>
      <c r="B67" s="2">
        <v>120000</v>
      </c>
      <c r="C67" t="s">
        <v>232</v>
      </c>
    </row>
    <row r="68" spans="1:5" x14ac:dyDescent="0.25">
      <c r="B68" s="2"/>
    </row>
    <row r="69" spans="1:5" x14ac:dyDescent="0.25">
      <c r="A69" t="s">
        <v>233</v>
      </c>
    </row>
    <row r="70" spans="1:5" x14ac:dyDescent="0.25">
      <c r="A70" s="1" t="s">
        <v>234</v>
      </c>
      <c r="B70" s="28" t="s">
        <v>145</v>
      </c>
      <c r="C70" s="28" t="s">
        <v>146</v>
      </c>
      <c r="D70" s="28" t="s">
        <v>147</v>
      </c>
      <c r="E70" s="28" t="s">
        <v>218</v>
      </c>
    </row>
    <row r="71" spans="1:5" x14ac:dyDescent="0.25">
      <c r="A71" t="s">
        <v>235</v>
      </c>
      <c r="B71" s="2">
        <f>B30</f>
        <v>720000</v>
      </c>
      <c r="C71" s="2">
        <f t="shared" ref="C71:E71" si="3">C30</f>
        <v>734400</v>
      </c>
      <c r="D71" s="2">
        <f t="shared" si="3"/>
        <v>849600</v>
      </c>
      <c r="E71" s="2">
        <f t="shared" si="3"/>
        <v>864000</v>
      </c>
    </row>
    <row r="72" spans="1:5" x14ac:dyDescent="0.25">
      <c r="B72" s="2"/>
      <c r="C72" s="2"/>
      <c r="D72" s="2"/>
      <c r="E72" s="2"/>
    </row>
    <row r="73" spans="1:5" x14ac:dyDescent="0.25">
      <c r="A73" t="s">
        <v>236</v>
      </c>
      <c r="B73" s="2">
        <f>B56</f>
        <v>468000</v>
      </c>
      <c r="C73" s="2">
        <f t="shared" ref="C73:E73" si="4">C56</f>
        <v>552500</v>
      </c>
      <c r="D73" s="2">
        <f t="shared" si="4"/>
        <v>629800</v>
      </c>
      <c r="E73" s="2">
        <f t="shared" si="4"/>
        <v>1180800</v>
      </c>
    </row>
    <row r="74" spans="1:5" x14ac:dyDescent="0.25">
      <c r="A74" t="s">
        <v>237</v>
      </c>
      <c r="B74" s="2">
        <f>$B$59</f>
        <v>50000</v>
      </c>
      <c r="C74" s="2">
        <f t="shared" ref="C74:D74" si="5">$B$59</f>
        <v>50000</v>
      </c>
      <c r="D74" s="2">
        <f t="shared" si="5"/>
        <v>50000</v>
      </c>
      <c r="E74" s="2"/>
    </row>
    <row r="75" spans="1:5" x14ac:dyDescent="0.25">
      <c r="A75" t="s">
        <v>238</v>
      </c>
      <c r="B75" s="2">
        <f>E8</f>
        <v>18000</v>
      </c>
      <c r="C75" s="2"/>
      <c r="D75" s="2">
        <f>(B74+C74)*B60</f>
        <v>14099.999999999998</v>
      </c>
      <c r="E75" s="2">
        <f>D74*B60</f>
        <v>7049.9999999999991</v>
      </c>
    </row>
    <row r="76" spans="1:5" x14ac:dyDescent="0.25">
      <c r="A76" t="s">
        <v>239</v>
      </c>
      <c r="B76" s="2"/>
      <c r="C76" s="2">
        <f>E9</f>
        <v>80000</v>
      </c>
      <c r="D76" s="2"/>
      <c r="E76" s="2"/>
    </row>
    <row r="77" spans="1:5" x14ac:dyDescent="0.25">
      <c r="A77" t="s">
        <v>240</v>
      </c>
      <c r="B77" s="2"/>
      <c r="C77" s="2"/>
      <c r="D77" s="2">
        <f>E10</f>
        <v>7875</v>
      </c>
      <c r="E77" s="2"/>
    </row>
    <row r="78" spans="1:5" x14ac:dyDescent="0.25">
      <c r="A78" t="s">
        <v>241</v>
      </c>
      <c r="B78" s="2"/>
      <c r="C78" s="2"/>
      <c r="D78" s="2">
        <f>D64</f>
        <v>60000</v>
      </c>
      <c r="E78" s="2">
        <f>E5-D78</f>
        <v>240000</v>
      </c>
    </row>
    <row r="79" spans="1:5" x14ac:dyDescent="0.25">
      <c r="A79" t="s">
        <v>242</v>
      </c>
      <c r="B79" s="2"/>
      <c r="C79" s="2"/>
      <c r="D79" s="2">
        <f>B65*3</f>
        <v>30000</v>
      </c>
      <c r="E79" s="2"/>
    </row>
    <row r="80" spans="1:5" x14ac:dyDescent="0.25">
      <c r="A80" t="s">
        <v>243</v>
      </c>
      <c r="B80" s="2">
        <f>$B$66*(1+$E$16)</f>
        <v>37500</v>
      </c>
      <c r="C80" s="2">
        <f t="shared" ref="C80:D80" si="6">$B$66*(1+$E$16)</f>
        <v>37500</v>
      </c>
      <c r="D80" s="2">
        <f t="shared" si="6"/>
        <v>37500</v>
      </c>
      <c r="E80" s="2"/>
    </row>
    <row r="81" spans="1:5" x14ac:dyDescent="0.25">
      <c r="A81" s="1" t="s">
        <v>244</v>
      </c>
      <c r="B81" s="4"/>
      <c r="C81" s="4">
        <f>B67</f>
        <v>120000</v>
      </c>
      <c r="D81" s="4"/>
      <c r="E81" s="4"/>
    </row>
    <row r="82" spans="1:5" x14ac:dyDescent="0.25">
      <c r="A82" s="35" t="s">
        <v>245</v>
      </c>
      <c r="B82" s="30">
        <f>B71-SUM(B73:B81)</f>
        <v>146500</v>
      </c>
      <c r="C82" s="30">
        <f t="shared" ref="C82:D82" si="7">C71-SUM(C73:C81)</f>
        <v>-105600</v>
      </c>
      <c r="D82" s="30">
        <f t="shared" si="7"/>
        <v>20325</v>
      </c>
      <c r="E82" s="30"/>
    </row>
    <row r="83" spans="1:5" x14ac:dyDescent="0.25">
      <c r="A83" t="s">
        <v>246</v>
      </c>
      <c r="B83" s="2">
        <f>-(E6-B6)</f>
        <v>-80000</v>
      </c>
      <c r="C83" s="2">
        <f>B84</f>
        <v>66500</v>
      </c>
      <c r="D83" s="2">
        <f>C84</f>
        <v>-39100</v>
      </c>
      <c r="E83" s="2">
        <f>D84</f>
        <v>-18775</v>
      </c>
    </row>
    <row r="84" spans="1:5" x14ac:dyDescent="0.25">
      <c r="A84" t="s">
        <v>247</v>
      </c>
      <c r="B84" s="2">
        <f>B82+B83</f>
        <v>66500</v>
      </c>
      <c r="C84" s="2">
        <f>C82+C83</f>
        <v>-39100</v>
      </c>
      <c r="D84" s="2">
        <f>D82+D83</f>
        <v>-18775</v>
      </c>
      <c r="E84" s="2"/>
    </row>
    <row r="85" spans="1:5" x14ac:dyDescent="0.25">
      <c r="A85" t="s">
        <v>248</v>
      </c>
      <c r="B85" s="2">
        <f>$G$6+B84</f>
        <v>266500</v>
      </c>
      <c r="C85" s="2">
        <f>$G$6+C84</f>
        <v>160900</v>
      </c>
      <c r="D85" s="2">
        <f>$G$6+D84</f>
        <v>181225</v>
      </c>
      <c r="E85" s="2"/>
    </row>
    <row r="86" spans="1:5" x14ac:dyDescent="0.25">
      <c r="B86" s="2"/>
      <c r="C86" s="2"/>
      <c r="D86" s="2"/>
      <c r="E86" s="2"/>
    </row>
    <row r="87" spans="1:5" x14ac:dyDescent="0.25">
      <c r="B87" s="2"/>
      <c r="C87" s="33"/>
      <c r="D87" s="2"/>
      <c r="E87" s="2"/>
    </row>
    <row r="88" spans="1:5" x14ac:dyDescent="0.25">
      <c r="A88" t="s">
        <v>250</v>
      </c>
      <c r="B88" s="2">
        <f>E16*SUM(B13:B15)/(1+E16)</f>
        <v>414720</v>
      </c>
      <c r="D88" s="2"/>
    </row>
    <row r="91" spans="1:5" x14ac:dyDescent="0.25">
      <c r="B91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2" sqref="B2"/>
    </sheetView>
  </sheetViews>
  <sheetFormatPr baseColWidth="10" defaultRowHeight="15" x14ac:dyDescent="0.25"/>
  <cols>
    <col min="1" max="1" width="32.42578125" customWidth="1"/>
    <col min="2" max="2" width="11.42578125" customWidth="1"/>
  </cols>
  <sheetData>
    <row r="1" spans="1:8" x14ac:dyDescent="0.25">
      <c r="A1" t="s">
        <v>251</v>
      </c>
      <c r="B1" s="14" t="s">
        <v>272</v>
      </c>
    </row>
    <row r="2" spans="1:8" x14ac:dyDescent="0.25">
      <c r="B2" s="14"/>
    </row>
    <row r="4" spans="1:8" x14ac:dyDescent="0.25">
      <c r="A4" s="1" t="s">
        <v>265</v>
      </c>
      <c r="B4" s="1" t="s">
        <v>252</v>
      </c>
      <c r="C4" s="1" t="s">
        <v>253</v>
      </c>
      <c r="D4" s="1" t="s">
        <v>254</v>
      </c>
      <c r="E4" s="1" t="s">
        <v>255</v>
      </c>
      <c r="F4" s="1" t="s">
        <v>256</v>
      </c>
      <c r="G4" s="1" t="s">
        <v>257</v>
      </c>
      <c r="H4" s="1" t="s">
        <v>85</v>
      </c>
    </row>
    <row r="5" spans="1:8" x14ac:dyDescent="0.25">
      <c r="A5" t="s">
        <v>132</v>
      </c>
      <c r="B5" s="36">
        <v>400</v>
      </c>
      <c r="C5" s="36">
        <v>400</v>
      </c>
      <c r="D5" s="36">
        <v>1200</v>
      </c>
      <c r="E5" s="36">
        <v>400</v>
      </c>
      <c r="F5" s="36">
        <v>600</v>
      </c>
      <c r="G5" s="36">
        <v>1000</v>
      </c>
      <c r="H5" s="36">
        <f>SUM(B5:G5)</f>
        <v>4000</v>
      </c>
    </row>
    <row r="6" spans="1:8" x14ac:dyDescent="0.25">
      <c r="A6" s="1" t="s">
        <v>258</v>
      </c>
      <c r="B6" s="37">
        <v>280</v>
      </c>
      <c r="C6" s="37">
        <v>280</v>
      </c>
      <c r="D6" s="37">
        <v>840</v>
      </c>
      <c r="E6" s="37">
        <v>280</v>
      </c>
      <c r="F6" s="37">
        <v>420</v>
      </c>
      <c r="G6" s="37">
        <v>700</v>
      </c>
      <c r="H6" s="37">
        <f t="shared" ref="H6:H15" si="0">SUM(B6:G6)</f>
        <v>2800</v>
      </c>
    </row>
    <row r="7" spans="1:8" x14ac:dyDescent="0.25">
      <c r="A7" t="s">
        <v>259</v>
      </c>
      <c r="B7" s="36">
        <v>120</v>
      </c>
      <c r="C7" s="36">
        <v>120</v>
      </c>
      <c r="D7" s="36">
        <v>360</v>
      </c>
      <c r="E7" s="36">
        <v>120</v>
      </c>
      <c r="F7" s="36">
        <v>180</v>
      </c>
      <c r="G7" s="36">
        <v>300</v>
      </c>
      <c r="H7" s="36">
        <f t="shared" si="0"/>
        <v>1200</v>
      </c>
    </row>
    <row r="8" spans="1:8" x14ac:dyDescent="0.25">
      <c r="A8" t="s">
        <v>260</v>
      </c>
      <c r="B8" s="36">
        <v>100</v>
      </c>
      <c r="C8" s="36">
        <v>100</v>
      </c>
      <c r="D8" s="36">
        <v>100</v>
      </c>
      <c r="E8" s="36">
        <v>100</v>
      </c>
      <c r="F8" s="36">
        <v>100</v>
      </c>
      <c r="G8" s="36">
        <v>100</v>
      </c>
      <c r="H8" s="36">
        <f t="shared" si="0"/>
        <v>600</v>
      </c>
    </row>
    <row r="9" spans="1:8" x14ac:dyDescent="0.25">
      <c r="A9" t="s">
        <v>261</v>
      </c>
      <c r="B9" s="36">
        <f>$H$9/6</f>
        <v>33.333333333333336</v>
      </c>
      <c r="C9" s="36">
        <f t="shared" ref="C9:G9" si="1">$H$9/6</f>
        <v>33.333333333333336</v>
      </c>
      <c r="D9" s="36">
        <f t="shared" si="1"/>
        <v>33.333333333333336</v>
      </c>
      <c r="E9" s="36">
        <f t="shared" si="1"/>
        <v>33.333333333333336</v>
      </c>
      <c r="F9" s="36">
        <f t="shared" si="1"/>
        <v>33.333333333333336</v>
      </c>
      <c r="G9" s="36">
        <f t="shared" si="1"/>
        <v>33.333333333333336</v>
      </c>
      <c r="H9" s="36">
        <v>200</v>
      </c>
    </row>
    <row r="10" spans="1:8" x14ac:dyDescent="0.25">
      <c r="A10" t="s">
        <v>242</v>
      </c>
      <c r="B10" s="36">
        <f>$H$10/6</f>
        <v>16.666666666666668</v>
      </c>
      <c r="C10" s="36">
        <f t="shared" ref="C10:G10" si="2">$H$10/6</f>
        <v>16.666666666666668</v>
      </c>
      <c r="D10" s="36">
        <f t="shared" si="2"/>
        <v>16.666666666666668</v>
      </c>
      <c r="E10" s="36">
        <f t="shared" si="2"/>
        <v>16.666666666666668</v>
      </c>
      <c r="F10" s="36">
        <f t="shared" si="2"/>
        <v>16.666666666666668</v>
      </c>
      <c r="G10" s="36">
        <f t="shared" si="2"/>
        <v>16.666666666666668</v>
      </c>
      <c r="H10" s="36">
        <v>100</v>
      </c>
    </row>
    <row r="11" spans="1:8" x14ac:dyDescent="0.25">
      <c r="A11" s="1" t="s">
        <v>127</v>
      </c>
      <c r="B11" s="37">
        <f>$H$11/6</f>
        <v>6.666666666666667</v>
      </c>
      <c r="C11" s="37">
        <f t="shared" ref="C11:G11" si="3">$H$11/6</f>
        <v>6.666666666666667</v>
      </c>
      <c r="D11" s="37">
        <f t="shared" si="3"/>
        <v>6.666666666666667</v>
      </c>
      <c r="E11" s="37">
        <f t="shared" si="3"/>
        <v>6.666666666666667</v>
      </c>
      <c r="F11" s="37">
        <f t="shared" si="3"/>
        <v>6.666666666666667</v>
      </c>
      <c r="G11" s="37">
        <f t="shared" si="3"/>
        <v>6.666666666666667</v>
      </c>
      <c r="H11" s="37">
        <v>40</v>
      </c>
    </row>
    <row r="12" spans="1:8" x14ac:dyDescent="0.25">
      <c r="A12" t="s">
        <v>2</v>
      </c>
      <c r="B12" s="36">
        <f>B7-SUM(B8:B11)</f>
        <v>-36.666666666666657</v>
      </c>
      <c r="C12" s="36">
        <f t="shared" ref="C12:G12" si="4">C7-SUM(C8:C11)</f>
        <v>-36.666666666666657</v>
      </c>
      <c r="D12" s="36">
        <f t="shared" si="4"/>
        <v>203.33333333333334</v>
      </c>
      <c r="E12" s="36">
        <f t="shared" si="4"/>
        <v>-36.666666666666657</v>
      </c>
      <c r="F12" s="36">
        <f t="shared" si="4"/>
        <v>23.333333333333343</v>
      </c>
      <c r="G12" s="36">
        <f t="shared" si="4"/>
        <v>143.33333333333334</v>
      </c>
      <c r="H12" s="36">
        <f>SUM(B12:G12)</f>
        <v>260.00000000000006</v>
      </c>
    </row>
    <row r="13" spans="1:8" x14ac:dyDescent="0.25">
      <c r="A13" s="1" t="s">
        <v>262</v>
      </c>
      <c r="B13" s="37">
        <v>20</v>
      </c>
      <c r="C13" s="37">
        <v>20</v>
      </c>
      <c r="D13" s="37">
        <v>20</v>
      </c>
      <c r="E13" s="37">
        <v>20</v>
      </c>
      <c r="F13" s="37">
        <v>20</v>
      </c>
      <c r="G13" s="37">
        <v>20</v>
      </c>
      <c r="H13" s="37">
        <f t="shared" si="0"/>
        <v>120</v>
      </c>
    </row>
    <row r="14" spans="1:8" x14ac:dyDescent="0.25">
      <c r="A14" s="35" t="s">
        <v>263</v>
      </c>
      <c r="B14" s="38">
        <f>B12-B13</f>
        <v>-56.666666666666657</v>
      </c>
      <c r="C14" s="38">
        <f t="shared" ref="C14:G14" si="5">C12-C13</f>
        <v>-56.666666666666657</v>
      </c>
      <c r="D14" s="38">
        <f t="shared" si="5"/>
        <v>183.33333333333334</v>
      </c>
      <c r="E14" s="38">
        <f t="shared" si="5"/>
        <v>-56.666666666666657</v>
      </c>
      <c r="F14" s="38">
        <f t="shared" si="5"/>
        <v>3.3333333333333428</v>
      </c>
      <c r="G14" s="38">
        <f t="shared" si="5"/>
        <v>123.33333333333334</v>
      </c>
      <c r="H14" s="38">
        <f t="shared" si="0"/>
        <v>140.00000000000006</v>
      </c>
    </row>
    <row r="15" spans="1:8" x14ac:dyDescent="0.25">
      <c r="A15" t="s">
        <v>264</v>
      </c>
      <c r="B15" s="36">
        <v>0.1</v>
      </c>
      <c r="C15" s="36">
        <v>0.1</v>
      </c>
      <c r="D15" s="36">
        <v>0.3</v>
      </c>
      <c r="E15" s="36">
        <v>0.1</v>
      </c>
      <c r="F15" s="36">
        <v>0.15</v>
      </c>
      <c r="G15" s="36">
        <v>0.25</v>
      </c>
      <c r="H15" s="36">
        <f t="shared" si="0"/>
        <v>1</v>
      </c>
    </row>
    <row r="18" spans="1:3" x14ac:dyDescent="0.25">
      <c r="A18" t="s">
        <v>266</v>
      </c>
    </row>
    <row r="19" spans="1:3" x14ac:dyDescent="0.25">
      <c r="A19" t="s">
        <v>267</v>
      </c>
      <c r="B19" s="3">
        <v>0.8</v>
      </c>
    </row>
    <row r="20" spans="1:3" x14ac:dyDescent="0.25">
      <c r="A20" t="s">
        <v>268</v>
      </c>
      <c r="B20" s="3">
        <v>0.2</v>
      </c>
    </row>
    <row r="21" spans="1:3" x14ac:dyDescent="0.25">
      <c r="A21" t="s">
        <v>269</v>
      </c>
    </row>
    <row r="22" spans="1:3" x14ac:dyDescent="0.25">
      <c r="A22" t="s">
        <v>190</v>
      </c>
      <c r="B22" s="3">
        <v>0.25</v>
      </c>
    </row>
    <row r="23" spans="1:3" x14ac:dyDescent="0.25">
      <c r="A23" t="s">
        <v>270</v>
      </c>
    </row>
    <row r="24" spans="1:3" x14ac:dyDescent="0.25">
      <c r="A24" t="s">
        <v>271</v>
      </c>
      <c r="B24" s="36">
        <v>40</v>
      </c>
      <c r="C24" t="s">
        <v>274</v>
      </c>
    </row>
    <row r="25" spans="1:3" x14ac:dyDescent="0.25">
      <c r="A25" t="s">
        <v>273</v>
      </c>
      <c r="B25" s="36">
        <v>120</v>
      </c>
      <c r="C25" t="s">
        <v>274</v>
      </c>
    </row>
    <row r="26" spans="1:3" x14ac:dyDescent="0.25">
      <c r="A26" s="14" t="s">
        <v>316</v>
      </c>
      <c r="B26" s="47">
        <v>120000</v>
      </c>
      <c r="C26" t="s">
        <v>317</v>
      </c>
    </row>
    <row r="27" spans="1:3" x14ac:dyDescent="0.25">
      <c r="A27" t="s">
        <v>275</v>
      </c>
    </row>
    <row r="28" spans="1:3" x14ac:dyDescent="0.25">
      <c r="B28" s="3">
        <v>0.35</v>
      </c>
      <c r="C28" t="s">
        <v>276</v>
      </c>
    </row>
    <row r="29" spans="1:3" x14ac:dyDescent="0.25">
      <c r="B29" s="3">
        <v>0.15</v>
      </c>
      <c r="C29" t="s">
        <v>277</v>
      </c>
    </row>
    <row r="30" spans="1:3" x14ac:dyDescent="0.25">
      <c r="B30" s="3">
        <v>0.35</v>
      </c>
      <c r="C30" t="s">
        <v>278</v>
      </c>
    </row>
    <row r="31" spans="1:3" x14ac:dyDescent="0.25">
      <c r="B31" s="3">
        <v>0.15</v>
      </c>
      <c r="C31" t="s">
        <v>279</v>
      </c>
    </row>
    <row r="32" spans="1:3" x14ac:dyDescent="0.25">
      <c r="A32" t="s">
        <v>280</v>
      </c>
    </row>
    <row r="33" spans="1:8" x14ac:dyDescent="0.25">
      <c r="B33" s="27">
        <v>20</v>
      </c>
      <c r="C33" t="s">
        <v>276</v>
      </c>
    </row>
    <row r="34" spans="1:8" x14ac:dyDescent="0.25">
      <c r="B34" s="27">
        <v>20</v>
      </c>
      <c r="C34" t="s">
        <v>278</v>
      </c>
    </row>
    <row r="35" spans="1:8" x14ac:dyDescent="0.25">
      <c r="A35" t="s">
        <v>281</v>
      </c>
      <c r="B35" s="27">
        <v>250</v>
      </c>
    </row>
    <row r="36" spans="1:8" x14ac:dyDescent="0.25">
      <c r="A36" t="s">
        <v>282</v>
      </c>
      <c r="B36" s="27">
        <v>400</v>
      </c>
    </row>
    <row r="38" spans="1:8" x14ac:dyDescent="0.25">
      <c r="A38" t="s">
        <v>25</v>
      </c>
    </row>
    <row r="39" spans="1:8" x14ac:dyDescent="0.25">
      <c r="A39" s="1"/>
      <c r="B39" s="28" t="s">
        <v>252</v>
      </c>
      <c r="C39" s="28" t="s">
        <v>253</v>
      </c>
      <c r="D39" s="28" t="s">
        <v>254</v>
      </c>
      <c r="E39" s="28" t="s">
        <v>255</v>
      </c>
      <c r="F39" s="28" t="s">
        <v>256</v>
      </c>
      <c r="G39" s="28" t="s">
        <v>257</v>
      </c>
      <c r="H39" s="39"/>
    </row>
    <row r="40" spans="1:8" x14ac:dyDescent="0.25">
      <c r="A40" s="25" t="s">
        <v>284</v>
      </c>
      <c r="B40" s="27">
        <f>B5*(1+$B$22)</f>
        <v>500</v>
      </c>
      <c r="C40" s="27">
        <f t="shared" ref="C40:G40" si="6">C5*(1+$B$22)</f>
        <v>500</v>
      </c>
      <c r="D40" s="27">
        <f t="shared" si="6"/>
        <v>1500</v>
      </c>
      <c r="E40" s="27">
        <f t="shared" si="6"/>
        <v>500</v>
      </c>
      <c r="F40" s="27">
        <f t="shared" si="6"/>
        <v>750</v>
      </c>
      <c r="G40" s="27">
        <f t="shared" si="6"/>
        <v>1250</v>
      </c>
    </row>
    <row r="42" spans="1:8" x14ac:dyDescent="0.25">
      <c r="A42" s="1" t="s">
        <v>283</v>
      </c>
      <c r="B42" s="28" t="s">
        <v>252</v>
      </c>
      <c r="C42" s="28" t="s">
        <v>253</v>
      </c>
      <c r="D42" s="28" t="s">
        <v>254</v>
      </c>
      <c r="E42" s="28" t="s">
        <v>255</v>
      </c>
      <c r="F42" s="28" t="s">
        <v>256</v>
      </c>
      <c r="G42" s="28" t="s">
        <v>257</v>
      </c>
      <c r="H42" s="28" t="s">
        <v>218</v>
      </c>
    </row>
    <row r="43" spans="1:8" x14ac:dyDescent="0.25">
      <c r="A43" s="25" t="s">
        <v>188</v>
      </c>
      <c r="B43" s="27">
        <f>$B$19*B40</f>
        <v>400</v>
      </c>
      <c r="C43" s="27">
        <f t="shared" ref="C43:G43" si="7">$B$19*C40</f>
        <v>400</v>
      </c>
      <c r="D43" s="27">
        <f t="shared" si="7"/>
        <v>1200</v>
      </c>
      <c r="E43" s="27">
        <f t="shared" si="7"/>
        <v>400</v>
      </c>
      <c r="F43" s="27">
        <f t="shared" si="7"/>
        <v>600</v>
      </c>
      <c r="G43" s="27">
        <f t="shared" si="7"/>
        <v>1000</v>
      </c>
      <c r="H43" s="27"/>
    </row>
    <row r="44" spans="1:8" x14ac:dyDescent="0.25">
      <c r="A44" s="26" t="s">
        <v>189</v>
      </c>
      <c r="B44" s="40"/>
      <c r="C44" s="40">
        <f>$B$20*B40</f>
        <v>100</v>
      </c>
      <c r="D44" s="40">
        <f t="shared" ref="D44:H44" si="8">$B$20*C40</f>
        <v>100</v>
      </c>
      <c r="E44" s="40">
        <f t="shared" si="8"/>
        <v>300</v>
      </c>
      <c r="F44" s="40">
        <f t="shared" si="8"/>
        <v>100</v>
      </c>
      <c r="G44" s="40">
        <f t="shared" si="8"/>
        <v>150</v>
      </c>
      <c r="H44" s="40">
        <f t="shared" si="8"/>
        <v>250</v>
      </c>
    </row>
    <row r="45" spans="1:8" x14ac:dyDescent="0.25">
      <c r="A45" s="29" t="s">
        <v>160</v>
      </c>
      <c r="B45" s="41">
        <f>SUM(B43:B44)</f>
        <v>400</v>
      </c>
      <c r="C45" s="41">
        <f t="shared" ref="C45:H45" si="9">SUM(C43:C44)</f>
        <v>500</v>
      </c>
      <c r="D45" s="41">
        <f t="shared" si="9"/>
        <v>1300</v>
      </c>
      <c r="E45" s="41">
        <f t="shared" si="9"/>
        <v>700</v>
      </c>
      <c r="F45" s="41">
        <f t="shared" si="9"/>
        <v>700</v>
      </c>
      <c r="G45" s="41">
        <f t="shared" si="9"/>
        <v>1150</v>
      </c>
      <c r="H45" s="41">
        <f t="shared" si="9"/>
        <v>250</v>
      </c>
    </row>
    <row r="48" spans="1:8" x14ac:dyDescent="0.25">
      <c r="A48" s="1" t="s">
        <v>285</v>
      </c>
      <c r="B48" s="28" t="s">
        <v>252</v>
      </c>
      <c r="C48" s="28" t="s">
        <v>253</v>
      </c>
      <c r="D48" s="28" t="s">
        <v>254</v>
      </c>
      <c r="E48" s="28" t="s">
        <v>255</v>
      </c>
      <c r="F48" s="28" t="s">
        <v>256</v>
      </c>
      <c r="G48" s="28" t="s">
        <v>257</v>
      </c>
      <c r="H48" s="28" t="s">
        <v>218</v>
      </c>
    </row>
    <row r="49" spans="1:8" x14ac:dyDescent="0.25">
      <c r="A49" s="35" t="s">
        <v>286</v>
      </c>
      <c r="B49" s="38">
        <v>0.1</v>
      </c>
      <c r="C49" s="38">
        <v>0.1</v>
      </c>
      <c r="D49" s="38">
        <v>0.3</v>
      </c>
      <c r="E49" s="38">
        <v>0.1</v>
      </c>
      <c r="F49" s="38">
        <v>0.15</v>
      </c>
      <c r="G49" s="38">
        <v>0.25</v>
      </c>
      <c r="H49" s="38"/>
    </row>
    <row r="50" spans="1:8" x14ac:dyDescent="0.25">
      <c r="A50" s="25" t="s">
        <v>287</v>
      </c>
      <c r="B50" s="42">
        <f>B6</f>
        <v>280</v>
      </c>
      <c r="C50" s="42">
        <f t="shared" ref="C50:G50" si="10">C6</f>
        <v>280</v>
      </c>
      <c r="D50" s="42">
        <f t="shared" si="10"/>
        <v>840</v>
      </c>
      <c r="E50" s="42">
        <f t="shared" si="10"/>
        <v>280</v>
      </c>
      <c r="F50" s="42">
        <f t="shared" si="10"/>
        <v>420</v>
      </c>
      <c r="G50" s="42">
        <f t="shared" si="10"/>
        <v>700</v>
      </c>
      <c r="H50" s="42"/>
    </row>
    <row r="51" spans="1:8" x14ac:dyDescent="0.25">
      <c r="A51" s="25" t="s">
        <v>190</v>
      </c>
      <c r="B51" s="42">
        <f t="shared" ref="B51:G51" si="11">B50*$B$22</f>
        <v>70</v>
      </c>
      <c r="C51" s="42">
        <f t="shared" si="11"/>
        <v>70</v>
      </c>
      <c r="D51" s="42">
        <f t="shared" si="11"/>
        <v>210</v>
      </c>
      <c r="E51" s="42">
        <f t="shared" si="11"/>
        <v>70</v>
      </c>
      <c r="F51" s="42">
        <f t="shared" si="11"/>
        <v>105</v>
      </c>
      <c r="G51" s="42">
        <f t="shared" si="11"/>
        <v>175</v>
      </c>
      <c r="H51" s="42"/>
    </row>
    <row r="52" spans="1:8" x14ac:dyDescent="0.25">
      <c r="A52" s="26" t="s">
        <v>288</v>
      </c>
      <c r="B52" s="43">
        <f>B50+B51</f>
        <v>350</v>
      </c>
      <c r="C52" s="43">
        <f t="shared" ref="C52:G52" si="12">C50+C51</f>
        <v>350</v>
      </c>
      <c r="D52" s="43">
        <f t="shared" si="12"/>
        <v>1050</v>
      </c>
      <c r="E52" s="43">
        <f t="shared" si="12"/>
        <v>350</v>
      </c>
      <c r="F52" s="43">
        <f t="shared" si="12"/>
        <v>525</v>
      </c>
      <c r="G52" s="43">
        <f t="shared" si="12"/>
        <v>875</v>
      </c>
      <c r="H52" s="43"/>
    </row>
    <row r="53" spans="1:8" x14ac:dyDescent="0.25">
      <c r="A53" s="25" t="s">
        <v>289</v>
      </c>
      <c r="B53" s="42">
        <f>0.5*B52</f>
        <v>175</v>
      </c>
      <c r="C53" s="42">
        <f>0.5*(B52+C52)</f>
        <v>350</v>
      </c>
      <c r="D53" s="42">
        <f t="shared" ref="D53:H53" si="13">0.5*(C52+D52)</f>
        <v>700</v>
      </c>
      <c r="E53" s="42">
        <f t="shared" si="13"/>
        <v>700</v>
      </c>
      <c r="F53" s="42">
        <f t="shared" si="13"/>
        <v>437.5</v>
      </c>
      <c r="G53" s="42">
        <f t="shared" si="13"/>
        <v>700</v>
      </c>
      <c r="H53" s="42">
        <f t="shared" si="13"/>
        <v>437.5</v>
      </c>
    </row>
    <row r="56" spans="1:8" x14ac:dyDescent="0.25">
      <c r="A56" s="1" t="s">
        <v>190</v>
      </c>
      <c r="B56" s="28" t="s">
        <v>252</v>
      </c>
      <c r="C56" s="28" t="s">
        <v>253</v>
      </c>
      <c r="D56" s="28" t="s">
        <v>254</v>
      </c>
      <c r="E56" s="28" t="s">
        <v>255</v>
      </c>
      <c r="F56" s="28" t="s">
        <v>256</v>
      </c>
      <c r="G56" s="28" t="s">
        <v>257</v>
      </c>
      <c r="H56" s="28" t="s">
        <v>218</v>
      </c>
    </row>
    <row r="57" spans="1:8" x14ac:dyDescent="0.25">
      <c r="A57" s="25" t="s">
        <v>290</v>
      </c>
      <c r="B57" s="42">
        <f>$B$22*B5</f>
        <v>100</v>
      </c>
      <c r="C57" s="42">
        <f t="shared" ref="C57:G57" si="14">$B$22*C5</f>
        <v>100</v>
      </c>
      <c r="D57" s="42">
        <f t="shared" si="14"/>
        <v>300</v>
      </c>
      <c r="E57" s="42">
        <f t="shared" si="14"/>
        <v>100</v>
      </c>
      <c r="F57" s="42">
        <f t="shared" si="14"/>
        <v>150</v>
      </c>
      <c r="G57" s="42">
        <f t="shared" si="14"/>
        <v>250</v>
      </c>
    </row>
    <row r="58" spans="1:8" x14ac:dyDescent="0.25">
      <c r="A58" s="25" t="s">
        <v>291</v>
      </c>
      <c r="B58" s="42">
        <f>B51</f>
        <v>70</v>
      </c>
      <c r="C58" s="42">
        <f t="shared" ref="C58:G58" si="15">C51</f>
        <v>70</v>
      </c>
      <c r="D58" s="42">
        <f t="shared" si="15"/>
        <v>210</v>
      </c>
      <c r="E58" s="42">
        <f t="shared" si="15"/>
        <v>70</v>
      </c>
      <c r="F58" s="42">
        <f t="shared" si="15"/>
        <v>105</v>
      </c>
      <c r="G58" s="42">
        <f t="shared" si="15"/>
        <v>175</v>
      </c>
    </row>
    <row r="59" spans="1:8" x14ac:dyDescent="0.25">
      <c r="A59" s="26" t="s">
        <v>292</v>
      </c>
      <c r="B59" s="43">
        <f>$B$22*B9</f>
        <v>8.3333333333333339</v>
      </c>
      <c r="C59" s="43">
        <f t="shared" ref="C59:G59" si="16">$B$22*C9</f>
        <v>8.3333333333333339</v>
      </c>
      <c r="D59" s="43">
        <f t="shared" si="16"/>
        <v>8.3333333333333339</v>
      </c>
      <c r="E59" s="43">
        <f t="shared" si="16"/>
        <v>8.3333333333333339</v>
      </c>
      <c r="F59" s="43">
        <f t="shared" si="16"/>
        <v>8.3333333333333339</v>
      </c>
      <c r="G59" s="43">
        <f t="shared" si="16"/>
        <v>8.3333333333333339</v>
      </c>
      <c r="H59" s="1"/>
    </row>
    <row r="60" spans="1:8" x14ac:dyDescent="0.25">
      <c r="A60" s="25" t="s">
        <v>293</v>
      </c>
      <c r="B60" s="42">
        <f>B57-B58-B59</f>
        <v>21.666666666666664</v>
      </c>
      <c r="C60" s="42">
        <f t="shared" ref="C60:G60" si="17">C57-C58-C59</f>
        <v>21.666666666666664</v>
      </c>
      <c r="D60" s="42">
        <f t="shared" si="17"/>
        <v>81.666666666666671</v>
      </c>
      <c r="E60" s="42">
        <f t="shared" si="17"/>
        <v>21.666666666666664</v>
      </c>
      <c r="F60" s="42">
        <f t="shared" si="17"/>
        <v>36.666666666666664</v>
      </c>
      <c r="G60" s="42">
        <f t="shared" si="17"/>
        <v>66.666666666666671</v>
      </c>
    </row>
    <row r="61" spans="1:8" x14ac:dyDescent="0.25">
      <c r="A61" s="25" t="s">
        <v>294</v>
      </c>
      <c r="C61" s="42">
        <f>B60</f>
        <v>21.666666666666664</v>
      </c>
      <c r="D61" s="42">
        <f t="shared" ref="D61:H61" si="18">C60</f>
        <v>21.666666666666664</v>
      </c>
      <c r="E61" s="42">
        <f t="shared" si="18"/>
        <v>81.666666666666671</v>
      </c>
      <c r="F61" s="42">
        <f t="shared" si="18"/>
        <v>21.666666666666664</v>
      </c>
      <c r="G61" s="42">
        <f t="shared" si="18"/>
        <v>36.666666666666664</v>
      </c>
      <c r="H61" s="42">
        <f t="shared" si="18"/>
        <v>66.666666666666671</v>
      </c>
    </row>
    <row r="64" spans="1:8" x14ac:dyDescent="0.25">
      <c r="A64" s="1" t="s">
        <v>234</v>
      </c>
      <c r="B64" s="28" t="s">
        <v>252</v>
      </c>
      <c r="C64" s="28" t="s">
        <v>253</v>
      </c>
      <c r="D64" s="28" t="s">
        <v>254</v>
      </c>
      <c r="E64" s="28" t="s">
        <v>255</v>
      </c>
      <c r="F64" s="28" t="s">
        <v>256</v>
      </c>
      <c r="G64" s="28" t="s">
        <v>257</v>
      </c>
      <c r="H64" s="28" t="s">
        <v>218</v>
      </c>
    </row>
    <row r="65" spans="1:9" x14ac:dyDescent="0.25">
      <c r="A65" s="44" t="s">
        <v>308</v>
      </c>
      <c r="B65" s="27"/>
      <c r="C65" s="27"/>
      <c r="D65" s="27"/>
      <c r="E65" s="27"/>
      <c r="F65" s="27"/>
      <c r="G65" s="27"/>
      <c r="H65" s="27"/>
      <c r="I65" s="27"/>
    </row>
    <row r="66" spans="1:9" x14ac:dyDescent="0.25">
      <c r="A66" t="s">
        <v>51</v>
      </c>
      <c r="B66" s="27">
        <f>B24</f>
        <v>40</v>
      </c>
      <c r="C66" s="27"/>
      <c r="D66" s="27"/>
      <c r="E66" s="27"/>
      <c r="F66" s="27"/>
      <c r="G66" s="27"/>
      <c r="H66" s="27">
        <f>H45</f>
        <v>250</v>
      </c>
      <c r="I66" s="27"/>
    </row>
    <row r="67" spans="1:9" x14ac:dyDescent="0.25">
      <c r="A67" s="1" t="s">
        <v>235</v>
      </c>
      <c r="B67" s="40">
        <f>B45</f>
        <v>400</v>
      </c>
      <c r="C67" s="40">
        <f t="shared" ref="C67:G67" si="19">C45</f>
        <v>500</v>
      </c>
      <c r="D67" s="40">
        <f t="shared" si="19"/>
        <v>1300</v>
      </c>
      <c r="E67" s="40">
        <f t="shared" si="19"/>
        <v>700</v>
      </c>
      <c r="F67" s="40">
        <f t="shared" si="19"/>
        <v>700</v>
      </c>
      <c r="G67" s="40">
        <f t="shared" si="19"/>
        <v>1150</v>
      </c>
      <c r="H67" s="40"/>
      <c r="I67" s="27"/>
    </row>
    <row r="68" spans="1:9" x14ac:dyDescent="0.25">
      <c r="A68" s="35" t="s">
        <v>296</v>
      </c>
      <c r="B68" s="41">
        <f>SUM(B66:B67)</f>
        <v>440</v>
      </c>
      <c r="C68" s="41">
        <f t="shared" ref="C68:G68" si="20">SUM(C66:C67)</f>
        <v>500</v>
      </c>
      <c r="D68" s="41">
        <f t="shared" si="20"/>
        <v>1300</v>
      </c>
      <c r="E68" s="41">
        <f t="shared" si="20"/>
        <v>700</v>
      </c>
      <c r="F68" s="41">
        <f t="shared" si="20"/>
        <v>700</v>
      </c>
      <c r="G68" s="41">
        <f t="shared" si="20"/>
        <v>1150</v>
      </c>
      <c r="H68" s="41"/>
      <c r="I68" s="27"/>
    </row>
    <row r="69" spans="1:9" x14ac:dyDescent="0.25">
      <c r="A69" s="44" t="s">
        <v>309</v>
      </c>
      <c r="B69" s="27"/>
      <c r="C69" s="27"/>
      <c r="D69" s="27"/>
      <c r="E69" s="27"/>
      <c r="F69" s="27"/>
      <c r="G69" s="27"/>
      <c r="H69" s="27"/>
      <c r="I69" s="27"/>
    </row>
    <row r="70" spans="1:9" x14ac:dyDescent="0.25">
      <c r="A70" t="s">
        <v>54</v>
      </c>
      <c r="B70" s="27">
        <f>B25</f>
        <v>120</v>
      </c>
      <c r="C70" s="27"/>
      <c r="D70" s="27"/>
      <c r="E70" s="27"/>
      <c r="F70" s="27"/>
      <c r="G70" s="27"/>
      <c r="H70" s="27"/>
      <c r="I70" s="27"/>
    </row>
    <row r="71" spans="1:9" x14ac:dyDescent="0.25">
      <c r="A71" t="s">
        <v>297</v>
      </c>
      <c r="B71" s="27">
        <f>B53</f>
        <v>175</v>
      </c>
      <c r="C71" s="27">
        <f t="shared" ref="C71:H71" si="21">C53</f>
        <v>350</v>
      </c>
      <c r="D71" s="27">
        <f t="shared" si="21"/>
        <v>700</v>
      </c>
      <c r="E71" s="27">
        <f t="shared" si="21"/>
        <v>700</v>
      </c>
      <c r="F71" s="27">
        <f t="shared" si="21"/>
        <v>437.5</v>
      </c>
      <c r="G71" s="27">
        <f t="shared" si="21"/>
        <v>700</v>
      </c>
      <c r="H71" s="27">
        <f t="shared" si="21"/>
        <v>437.5</v>
      </c>
      <c r="I71" s="27"/>
    </row>
    <row r="72" spans="1:9" x14ac:dyDescent="0.25">
      <c r="A72" t="s">
        <v>242</v>
      </c>
      <c r="B72" s="27">
        <f>B10</f>
        <v>16.666666666666668</v>
      </c>
      <c r="C72" s="27">
        <f t="shared" ref="C72:G72" si="22">C10</f>
        <v>16.666666666666668</v>
      </c>
      <c r="D72" s="27">
        <f t="shared" si="22"/>
        <v>16.666666666666668</v>
      </c>
      <c r="E72" s="27">
        <f t="shared" si="22"/>
        <v>16.666666666666668</v>
      </c>
      <c r="F72" s="27">
        <f t="shared" si="22"/>
        <v>16.666666666666668</v>
      </c>
      <c r="G72" s="27">
        <f t="shared" si="22"/>
        <v>16.666666666666668</v>
      </c>
      <c r="H72" s="27"/>
      <c r="I72" s="27"/>
    </row>
    <row r="73" spans="1:9" x14ac:dyDescent="0.25">
      <c r="A73" t="s">
        <v>298</v>
      </c>
      <c r="B73" s="27">
        <f>B9*(1+$B$22)</f>
        <v>41.666666666666671</v>
      </c>
      <c r="C73" s="27">
        <f t="shared" ref="C73:G73" si="23">C9*(1+$B$22)</f>
        <v>41.666666666666671</v>
      </c>
      <c r="D73" s="27">
        <f t="shared" si="23"/>
        <v>41.666666666666671</v>
      </c>
      <c r="E73" s="27">
        <f t="shared" si="23"/>
        <v>41.666666666666671</v>
      </c>
      <c r="F73" s="27">
        <f t="shared" si="23"/>
        <v>41.666666666666671</v>
      </c>
      <c r="G73" s="27">
        <f t="shared" si="23"/>
        <v>41.666666666666671</v>
      </c>
      <c r="H73" s="27"/>
      <c r="I73" s="27"/>
    </row>
    <row r="74" spans="1:9" x14ac:dyDescent="0.25">
      <c r="A74" s="1" t="s">
        <v>315</v>
      </c>
      <c r="B74" s="40">
        <f>B8</f>
        <v>100</v>
      </c>
      <c r="C74" s="40">
        <f t="shared" ref="C74:G74" si="24">C8</f>
        <v>100</v>
      </c>
      <c r="D74" s="40">
        <f t="shared" si="24"/>
        <v>100</v>
      </c>
      <c r="E74" s="40">
        <f t="shared" si="24"/>
        <v>100</v>
      </c>
      <c r="F74" s="40">
        <f t="shared" si="24"/>
        <v>100</v>
      </c>
      <c r="G74" s="40">
        <f t="shared" si="24"/>
        <v>100</v>
      </c>
      <c r="H74" s="40"/>
      <c r="I74" s="27"/>
    </row>
    <row r="75" spans="1:9" x14ac:dyDescent="0.25">
      <c r="A75" t="s">
        <v>299</v>
      </c>
      <c r="B75" s="27">
        <f>SUM(B70:B74)</f>
        <v>453.33333333333337</v>
      </c>
      <c r="C75" s="27">
        <f t="shared" ref="C75:G75" si="25">SUM(C70:C74)</f>
        <v>508.33333333333337</v>
      </c>
      <c r="D75" s="27">
        <f t="shared" si="25"/>
        <v>858.33333333333326</v>
      </c>
      <c r="E75" s="27">
        <f t="shared" si="25"/>
        <v>858.33333333333326</v>
      </c>
      <c r="F75" s="27">
        <f t="shared" si="25"/>
        <v>595.83333333333337</v>
      </c>
      <c r="G75" s="27">
        <f t="shared" si="25"/>
        <v>858.33333333333326</v>
      </c>
      <c r="H75" s="27"/>
      <c r="I75" s="27"/>
    </row>
    <row r="76" spans="1:9" x14ac:dyDescent="0.25">
      <c r="A76" s="1" t="s">
        <v>300</v>
      </c>
      <c r="B76" s="40"/>
      <c r="C76" s="40">
        <f>C61</f>
        <v>21.666666666666664</v>
      </c>
      <c r="D76" s="40">
        <f t="shared" ref="D76:H76" si="26">D61</f>
        <v>21.666666666666664</v>
      </c>
      <c r="E76" s="40">
        <f t="shared" si="26"/>
        <v>81.666666666666671</v>
      </c>
      <c r="F76" s="40">
        <f t="shared" si="26"/>
        <v>21.666666666666664</v>
      </c>
      <c r="G76" s="40">
        <f t="shared" si="26"/>
        <v>36.666666666666664</v>
      </c>
      <c r="H76" s="40">
        <f t="shared" si="26"/>
        <v>66.666666666666671</v>
      </c>
      <c r="I76" s="27"/>
    </row>
    <row r="77" spans="1:9" x14ac:dyDescent="0.25">
      <c r="A77" s="45" t="s">
        <v>310</v>
      </c>
      <c r="B77" s="41">
        <f>B68-B75-B76</f>
        <v>-13.333333333333371</v>
      </c>
      <c r="C77" s="41">
        <f t="shared" ref="C77:G77" si="27">C68-C75-C76</f>
        <v>-30.000000000000036</v>
      </c>
      <c r="D77" s="41">
        <f t="shared" si="27"/>
        <v>420.00000000000006</v>
      </c>
      <c r="E77" s="41">
        <f t="shared" si="27"/>
        <v>-239.99999999999994</v>
      </c>
      <c r="F77" s="41">
        <f t="shared" si="27"/>
        <v>82.499999999999972</v>
      </c>
      <c r="G77" s="41">
        <f t="shared" si="27"/>
        <v>255.00000000000009</v>
      </c>
      <c r="H77" s="41"/>
      <c r="I77" s="27"/>
    </row>
    <row r="78" spans="1:9" x14ac:dyDescent="0.25">
      <c r="A78" s="44" t="s">
        <v>311</v>
      </c>
      <c r="B78" s="27"/>
      <c r="C78" s="27"/>
      <c r="D78" s="27"/>
      <c r="E78" s="27"/>
      <c r="F78" s="27"/>
      <c r="G78" s="27"/>
      <c r="H78" s="27"/>
      <c r="I78" s="27"/>
    </row>
    <row r="79" spans="1:9" x14ac:dyDescent="0.25">
      <c r="A79" t="s">
        <v>301</v>
      </c>
      <c r="B79" s="27"/>
      <c r="C79" s="27"/>
      <c r="D79" s="27"/>
      <c r="E79" s="27"/>
      <c r="F79" s="27"/>
      <c r="G79" s="27"/>
      <c r="H79" s="27"/>
      <c r="I79" s="27"/>
    </row>
    <row r="80" spans="1:9" x14ac:dyDescent="0.25">
      <c r="A80" s="44" t="s">
        <v>312</v>
      </c>
      <c r="B80" s="27"/>
      <c r="C80" s="27"/>
      <c r="D80" s="27"/>
      <c r="E80" s="27"/>
      <c r="F80" s="27"/>
      <c r="G80" s="27"/>
      <c r="H80" s="27"/>
      <c r="I80" s="27"/>
    </row>
    <row r="81" spans="1:9" x14ac:dyDescent="0.25">
      <c r="A81" t="s">
        <v>303</v>
      </c>
      <c r="B81" s="27"/>
      <c r="C81" s="27">
        <f>B33</f>
        <v>20</v>
      </c>
      <c r="D81" s="27"/>
      <c r="E81" s="27"/>
      <c r="F81" s="27">
        <f>B34</f>
        <v>20</v>
      </c>
      <c r="G81" s="27"/>
      <c r="H81" s="27"/>
      <c r="I81" s="27"/>
    </row>
    <row r="82" spans="1:9" x14ac:dyDescent="0.25">
      <c r="A82" s="1" t="s">
        <v>304</v>
      </c>
      <c r="B82" s="40"/>
      <c r="C82" s="40">
        <f>$B$26*B28/1000</f>
        <v>42</v>
      </c>
      <c r="D82" s="40">
        <f>$B$26*B29/1000</f>
        <v>18</v>
      </c>
      <c r="E82" s="40"/>
      <c r="F82" s="40">
        <f>$B$26*B30/1000</f>
        <v>42</v>
      </c>
      <c r="G82" s="40">
        <f>$B$26*B31/1000</f>
        <v>18</v>
      </c>
      <c r="H82" s="40"/>
      <c r="I82" s="27"/>
    </row>
    <row r="83" spans="1:9" x14ac:dyDescent="0.25">
      <c r="A83" s="35" t="s">
        <v>305</v>
      </c>
      <c r="B83" s="41"/>
      <c r="C83" s="41">
        <f>SUM(C81:C82)</f>
        <v>62</v>
      </c>
      <c r="D83" s="41">
        <f t="shared" ref="D83:G83" si="28">SUM(D81:D82)</f>
        <v>18</v>
      </c>
      <c r="E83" s="41">
        <f t="shared" si="28"/>
        <v>0</v>
      </c>
      <c r="F83" s="41">
        <f t="shared" si="28"/>
        <v>62</v>
      </c>
      <c r="G83" s="41">
        <f t="shared" si="28"/>
        <v>18</v>
      </c>
      <c r="H83" s="41"/>
      <c r="I83" s="27"/>
    </row>
    <row r="84" spans="1:9" x14ac:dyDescent="0.25">
      <c r="A84" s="45" t="s">
        <v>319</v>
      </c>
      <c r="B84" s="41"/>
      <c r="C84" s="41">
        <f>C79-C83</f>
        <v>-62</v>
      </c>
      <c r="D84" s="41">
        <f t="shared" ref="D84:G84" si="29">D79-D83</f>
        <v>-18</v>
      </c>
      <c r="E84" s="41"/>
      <c r="F84" s="41">
        <f t="shared" si="29"/>
        <v>-62</v>
      </c>
      <c r="G84" s="41">
        <f t="shared" si="29"/>
        <v>-18</v>
      </c>
      <c r="H84" s="41"/>
      <c r="I84" s="27"/>
    </row>
    <row r="85" spans="1:9" x14ac:dyDescent="0.25">
      <c r="A85" s="45" t="s">
        <v>318</v>
      </c>
      <c r="B85" s="41">
        <f>B77+B84</f>
        <v>-13.333333333333371</v>
      </c>
      <c r="C85" s="41">
        <f t="shared" ref="C85:G85" si="30">C77+C84</f>
        <v>-92.000000000000028</v>
      </c>
      <c r="D85" s="41">
        <f t="shared" si="30"/>
        <v>402.00000000000006</v>
      </c>
      <c r="E85" s="41">
        <f t="shared" si="30"/>
        <v>-239.99999999999994</v>
      </c>
      <c r="F85" s="41">
        <f t="shared" si="30"/>
        <v>20.499999999999972</v>
      </c>
      <c r="G85" s="41">
        <f t="shared" si="30"/>
        <v>237.00000000000009</v>
      </c>
      <c r="H85" s="41"/>
      <c r="I85" s="27"/>
    </row>
    <row r="86" spans="1:9" x14ac:dyDescent="0.25">
      <c r="A86" t="s">
        <v>313</v>
      </c>
      <c r="B86" s="27">
        <f>-B35</f>
        <v>-250</v>
      </c>
      <c r="C86" s="27">
        <f>B87</f>
        <v>-263.33333333333337</v>
      </c>
      <c r="D86" s="27">
        <f t="shared" ref="D86:G86" si="31">C87</f>
        <v>-355.33333333333337</v>
      </c>
      <c r="E86" s="27">
        <f t="shared" si="31"/>
        <v>46.666666666666686</v>
      </c>
      <c r="F86" s="27">
        <f t="shared" si="31"/>
        <v>-193.33333333333326</v>
      </c>
      <c r="G86" s="27">
        <f t="shared" si="31"/>
        <v>-172.83333333333329</v>
      </c>
      <c r="H86" s="27"/>
      <c r="I86" s="27"/>
    </row>
    <row r="87" spans="1:9" x14ac:dyDescent="0.25">
      <c r="A87" t="s">
        <v>314</v>
      </c>
      <c r="B87" s="27">
        <f>B86+B85</f>
        <v>-263.33333333333337</v>
      </c>
      <c r="C87" s="27">
        <f t="shared" ref="C87:G87" si="32">C86+C85</f>
        <v>-355.33333333333337</v>
      </c>
      <c r="D87" s="27">
        <f t="shared" si="32"/>
        <v>46.666666666666686</v>
      </c>
      <c r="E87" s="27">
        <f t="shared" si="32"/>
        <v>-193.33333333333326</v>
      </c>
      <c r="F87" s="27">
        <f t="shared" si="32"/>
        <v>-172.83333333333329</v>
      </c>
      <c r="G87" s="27">
        <f t="shared" si="32"/>
        <v>64.166666666666799</v>
      </c>
      <c r="H87" s="27">
        <f>G87</f>
        <v>64.166666666666799</v>
      </c>
      <c r="I87" s="27"/>
    </row>
    <row r="88" spans="1:9" x14ac:dyDescent="0.25">
      <c r="A88" t="s">
        <v>306</v>
      </c>
      <c r="B88" s="27">
        <f>$B$36+B87</f>
        <v>136.66666666666663</v>
      </c>
      <c r="C88" s="27">
        <f t="shared" ref="C88:G88" si="33">$B$36+C87</f>
        <v>44.666666666666629</v>
      </c>
      <c r="D88" s="27">
        <f t="shared" si="33"/>
        <v>446.66666666666669</v>
      </c>
      <c r="E88" s="27">
        <f t="shared" si="33"/>
        <v>206.66666666666674</v>
      </c>
      <c r="F88" s="27">
        <f t="shared" si="33"/>
        <v>227.16666666666671</v>
      </c>
      <c r="G88" s="27">
        <f t="shared" si="33"/>
        <v>464.1666666666668</v>
      </c>
      <c r="H88" s="27"/>
      <c r="I88" s="27"/>
    </row>
    <row r="89" spans="1:9" x14ac:dyDescent="0.25">
      <c r="A89" t="s">
        <v>307</v>
      </c>
      <c r="B89" s="27"/>
      <c r="C89" s="27"/>
      <c r="D89" s="27"/>
      <c r="E89" s="27"/>
      <c r="F89" s="27"/>
      <c r="G89" s="27"/>
      <c r="H89" s="27"/>
      <c r="I89" s="27"/>
    </row>
    <row r="90" spans="1:9" x14ac:dyDescent="0.25">
      <c r="B90" s="27"/>
      <c r="C90" s="27"/>
      <c r="D90" s="27"/>
      <c r="E90" s="27"/>
      <c r="F90" s="27"/>
      <c r="G90" s="27"/>
      <c r="H90" s="27"/>
      <c r="I90" s="27"/>
    </row>
    <row r="91" spans="1:9" x14ac:dyDescent="0.25">
      <c r="B91" s="27"/>
      <c r="C91" s="27"/>
      <c r="D91" s="27"/>
      <c r="E91" s="27"/>
      <c r="F91" s="27"/>
      <c r="G91" s="27"/>
      <c r="H91" s="27"/>
      <c r="I91" s="27"/>
    </row>
    <row r="92" spans="1:9" x14ac:dyDescent="0.25">
      <c r="B92" s="27"/>
      <c r="C92" s="27"/>
      <c r="D92" s="27"/>
      <c r="E92" s="27"/>
      <c r="F92" s="27"/>
      <c r="G92" s="27"/>
      <c r="H92" s="27"/>
      <c r="I92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B2" sqref="B2"/>
    </sheetView>
  </sheetViews>
  <sheetFormatPr baseColWidth="10" defaultRowHeight="15" x14ac:dyDescent="0.25"/>
  <cols>
    <col min="1" max="1" width="32" customWidth="1"/>
  </cols>
  <sheetData>
    <row r="1" spans="1:5" x14ac:dyDescent="0.25">
      <c r="A1" t="s">
        <v>321</v>
      </c>
    </row>
    <row r="3" spans="1:5" x14ac:dyDescent="0.25">
      <c r="A3" t="s">
        <v>322</v>
      </c>
    </row>
    <row r="5" spans="1:5" x14ac:dyDescent="0.25">
      <c r="A5" s="1"/>
      <c r="B5" s="1" t="s">
        <v>254</v>
      </c>
      <c r="C5" s="1" t="s">
        <v>255</v>
      </c>
      <c r="D5" s="1" t="s">
        <v>256</v>
      </c>
      <c r="E5" s="1" t="s">
        <v>257</v>
      </c>
    </row>
    <row r="6" spans="1:5" x14ac:dyDescent="0.25">
      <c r="A6" t="s">
        <v>323</v>
      </c>
      <c r="B6">
        <v>800</v>
      </c>
      <c r="C6">
        <v>800</v>
      </c>
      <c r="D6">
        <v>1200</v>
      </c>
      <c r="E6">
        <v>0</v>
      </c>
    </row>
    <row r="7" spans="1:5" x14ac:dyDescent="0.25">
      <c r="A7" s="1" t="s">
        <v>324</v>
      </c>
      <c r="B7" s="1"/>
      <c r="C7" s="1">
        <v>300</v>
      </c>
      <c r="D7" s="1">
        <v>600</v>
      </c>
      <c r="E7" s="1">
        <v>900</v>
      </c>
    </row>
    <row r="9" spans="1:5" x14ac:dyDescent="0.25">
      <c r="A9" t="s">
        <v>325</v>
      </c>
      <c r="B9" s="2">
        <v>975</v>
      </c>
      <c r="C9" t="s">
        <v>326</v>
      </c>
    </row>
    <row r="10" spans="1:5" x14ac:dyDescent="0.25">
      <c r="B10" s="2"/>
    </row>
    <row r="11" spans="1:5" x14ac:dyDescent="0.25">
      <c r="A11" s="1" t="s">
        <v>327</v>
      </c>
      <c r="B11" s="1">
        <v>400</v>
      </c>
      <c r="C11" s="1" t="s">
        <v>142</v>
      </c>
    </row>
    <row r="12" spans="1:5" x14ac:dyDescent="0.25">
      <c r="A12" t="s">
        <v>328</v>
      </c>
      <c r="B12" s="2">
        <v>890</v>
      </c>
      <c r="C12" t="s">
        <v>326</v>
      </c>
    </row>
    <row r="13" spans="1:5" x14ac:dyDescent="0.25">
      <c r="A13" t="s">
        <v>329</v>
      </c>
      <c r="B13">
        <v>300</v>
      </c>
      <c r="C13" t="s">
        <v>142</v>
      </c>
    </row>
    <row r="14" spans="1:5" x14ac:dyDescent="0.25">
      <c r="A14" s="1" t="s">
        <v>330</v>
      </c>
      <c r="B14" s="1">
        <v>100</v>
      </c>
      <c r="C14" s="1" t="s">
        <v>142</v>
      </c>
    </row>
    <row r="16" spans="1:5" x14ac:dyDescent="0.25">
      <c r="A16" t="s">
        <v>331</v>
      </c>
      <c r="B16" s="2">
        <v>180</v>
      </c>
    </row>
    <row r="17" spans="1:3" x14ac:dyDescent="0.25">
      <c r="A17" t="s">
        <v>332</v>
      </c>
    </row>
    <row r="18" spans="1:3" x14ac:dyDescent="0.25">
      <c r="B18">
        <v>100</v>
      </c>
      <c r="C18" t="s">
        <v>142</v>
      </c>
    </row>
    <row r="19" spans="1:3" x14ac:dyDescent="0.25">
      <c r="A19" t="s">
        <v>333</v>
      </c>
    </row>
    <row r="20" spans="1:3" x14ac:dyDescent="0.25">
      <c r="A20" t="s">
        <v>334</v>
      </c>
      <c r="B20" s="2">
        <v>25</v>
      </c>
      <c r="C20" t="s">
        <v>335</v>
      </c>
    </row>
    <row r="21" spans="1:3" x14ac:dyDescent="0.25">
      <c r="A21" t="s">
        <v>336</v>
      </c>
      <c r="B21" s="2">
        <v>40</v>
      </c>
      <c r="C21" t="s">
        <v>335</v>
      </c>
    </row>
    <row r="22" spans="1:3" x14ac:dyDescent="0.25">
      <c r="A22" t="s">
        <v>337</v>
      </c>
      <c r="B22" s="2">
        <v>17500</v>
      </c>
      <c r="C22" t="s">
        <v>338</v>
      </c>
    </row>
    <row r="23" spans="1:3" x14ac:dyDescent="0.25">
      <c r="A23" t="s">
        <v>339</v>
      </c>
      <c r="B23" s="2">
        <v>18000</v>
      </c>
      <c r="C23" t="s">
        <v>340</v>
      </c>
    </row>
    <row r="24" spans="1:3" x14ac:dyDescent="0.25">
      <c r="A24" t="s">
        <v>127</v>
      </c>
      <c r="B24" s="2">
        <v>96000</v>
      </c>
      <c r="C24" t="s">
        <v>341</v>
      </c>
    </row>
    <row r="25" spans="1:3" x14ac:dyDescent="0.25">
      <c r="A25" t="s">
        <v>342</v>
      </c>
      <c r="B25" s="2">
        <v>54000</v>
      </c>
      <c r="C25" t="s">
        <v>341</v>
      </c>
    </row>
    <row r="26" spans="1:3" x14ac:dyDescent="0.25">
      <c r="A26" t="s">
        <v>343</v>
      </c>
      <c r="B26" s="23">
        <v>12</v>
      </c>
    </row>
    <row r="27" spans="1:3" x14ac:dyDescent="0.25">
      <c r="A27" t="s">
        <v>344</v>
      </c>
      <c r="B27" s="2">
        <v>13800</v>
      </c>
    </row>
    <row r="28" spans="1:3" x14ac:dyDescent="0.25">
      <c r="A28" t="s">
        <v>345</v>
      </c>
      <c r="B28" s="2">
        <v>18000</v>
      </c>
    </row>
    <row r="29" spans="1:3" x14ac:dyDescent="0.25">
      <c r="A29" t="s">
        <v>346</v>
      </c>
      <c r="B29" s="3">
        <v>0.12</v>
      </c>
    </row>
    <row r="30" spans="1:3" x14ac:dyDescent="0.25">
      <c r="A30" t="s">
        <v>347</v>
      </c>
    </row>
    <row r="31" spans="1:3" x14ac:dyDescent="0.25">
      <c r="A31" t="s">
        <v>348</v>
      </c>
      <c r="B31">
        <v>3</v>
      </c>
      <c r="C31" t="s">
        <v>349</v>
      </c>
    </row>
    <row r="32" spans="1:3" x14ac:dyDescent="0.25">
      <c r="A32" t="s">
        <v>350</v>
      </c>
      <c r="B32" s="2">
        <v>67500</v>
      </c>
    </row>
    <row r="33" spans="1:6" x14ac:dyDescent="0.25">
      <c r="A33" t="s">
        <v>351</v>
      </c>
      <c r="B33">
        <v>2</v>
      </c>
      <c r="C33" t="s">
        <v>349</v>
      </c>
    </row>
    <row r="34" spans="1:6" x14ac:dyDescent="0.25">
      <c r="A34" t="s">
        <v>352</v>
      </c>
      <c r="B34" s="2">
        <v>47000</v>
      </c>
    </row>
    <row r="35" spans="1:6" x14ac:dyDescent="0.25">
      <c r="A35" t="s">
        <v>190</v>
      </c>
      <c r="B35" s="3">
        <v>0.25</v>
      </c>
    </row>
    <row r="36" spans="1:6" x14ac:dyDescent="0.25">
      <c r="A36" t="s">
        <v>353</v>
      </c>
      <c r="B36" s="2">
        <v>49800</v>
      </c>
    </row>
    <row r="38" spans="1:6" x14ac:dyDescent="0.25">
      <c r="A38" t="s">
        <v>354</v>
      </c>
    </row>
    <row r="39" spans="1:6" x14ac:dyDescent="0.25">
      <c r="A39" s="1" t="s">
        <v>356</v>
      </c>
      <c r="B39" s="28" t="s">
        <v>254</v>
      </c>
      <c r="C39" s="28" t="s">
        <v>255</v>
      </c>
      <c r="D39" s="28" t="s">
        <v>256</v>
      </c>
      <c r="E39" s="28" t="s">
        <v>257</v>
      </c>
    </row>
    <row r="40" spans="1:6" x14ac:dyDescent="0.25">
      <c r="A40" t="s">
        <v>323</v>
      </c>
      <c r="B40">
        <v>800</v>
      </c>
      <c r="C40">
        <v>800</v>
      </c>
      <c r="D40">
        <v>1200</v>
      </c>
      <c r="E40">
        <v>0</v>
      </c>
    </row>
    <row r="41" spans="1:6" x14ac:dyDescent="0.25">
      <c r="A41" s="14" t="s">
        <v>324</v>
      </c>
      <c r="B41" s="14"/>
      <c r="C41" s="14">
        <v>300</v>
      </c>
      <c r="D41" s="14">
        <v>600</v>
      </c>
      <c r="E41" s="14">
        <v>900</v>
      </c>
      <c r="F41" s="14"/>
    </row>
    <row r="42" spans="1:6" x14ac:dyDescent="0.25">
      <c r="A42" s="26" t="s">
        <v>355</v>
      </c>
      <c r="B42" s="1">
        <f>B13</f>
        <v>300</v>
      </c>
      <c r="C42" s="1">
        <f>B14</f>
        <v>100</v>
      </c>
      <c r="D42" s="1"/>
      <c r="E42" s="1"/>
      <c r="F42" s="14"/>
    </row>
    <row r="43" spans="1:6" x14ac:dyDescent="0.25">
      <c r="A43" s="14"/>
      <c r="B43" s="14"/>
      <c r="C43" s="14"/>
      <c r="D43" s="14"/>
      <c r="E43" s="14"/>
      <c r="F43" s="14"/>
    </row>
    <row r="44" spans="1:6" x14ac:dyDescent="0.25">
      <c r="A44" s="1" t="s">
        <v>357</v>
      </c>
      <c r="B44" s="28" t="s">
        <v>254</v>
      </c>
      <c r="C44" s="28" t="s">
        <v>255</v>
      </c>
      <c r="D44" s="28" t="s">
        <v>256</v>
      </c>
      <c r="E44" s="28" t="s">
        <v>257</v>
      </c>
    </row>
    <row r="45" spans="1:6" x14ac:dyDescent="0.25">
      <c r="A45" s="25" t="s">
        <v>355</v>
      </c>
      <c r="B45" s="2">
        <f>$B$12*B42</f>
        <v>267000</v>
      </c>
      <c r="C45" s="2">
        <f>$B$12*C42</f>
        <v>89000</v>
      </c>
      <c r="D45" s="2"/>
      <c r="E45" s="2"/>
    </row>
    <row r="46" spans="1:6" x14ac:dyDescent="0.25">
      <c r="A46" s="26" t="s">
        <v>358</v>
      </c>
      <c r="B46" s="4"/>
      <c r="C46" s="4">
        <f t="shared" ref="C46:E46" si="0">$B$9*C41</f>
        <v>292500</v>
      </c>
      <c r="D46" s="4">
        <f t="shared" si="0"/>
        <v>585000</v>
      </c>
      <c r="E46" s="4">
        <f t="shared" si="0"/>
        <v>877500</v>
      </c>
    </row>
    <row r="47" spans="1:6" x14ac:dyDescent="0.25">
      <c r="A47" s="25" t="s">
        <v>132</v>
      </c>
      <c r="B47" s="2">
        <f>SUM(B45:B46)</f>
        <v>267000</v>
      </c>
      <c r="C47" s="2">
        <f t="shared" ref="C47:E47" si="1">SUM(C45:C46)</f>
        <v>381500</v>
      </c>
      <c r="D47" s="2">
        <f t="shared" si="1"/>
        <v>585000</v>
      </c>
      <c r="E47" s="2">
        <f t="shared" si="1"/>
        <v>877500</v>
      </c>
    </row>
    <row r="48" spans="1:6" x14ac:dyDescent="0.25">
      <c r="A48" s="25" t="s">
        <v>359</v>
      </c>
      <c r="B48" s="2">
        <f>$B$35*B47</f>
        <v>66750</v>
      </c>
      <c r="C48" s="2">
        <f t="shared" ref="C48:E48" si="2">$B$35*C47</f>
        <v>95375</v>
      </c>
      <c r="D48" s="2">
        <f t="shared" si="2"/>
        <v>146250</v>
      </c>
      <c r="E48" s="2">
        <f t="shared" si="2"/>
        <v>219375</v>
      </c>
    </row>
    <row r="49" spans="1:6" x14ac:dyDescent="0.25">
      <c r="B49" s="2"/>
      <c r="C49" s="2"/>
      <c r="D49" s="2"/>
      <c r="E49" s="2"/>
    </row>
    <row r="50" spans="1:6" x14ac:dyDescent="0.25">
      <c r="A50" s="1" t="s">
        <v>235</v>
      </c>
      <c r="B50" s="28" t="s">
        <v>254</v>
      </c>
      <c r="C50" s="28" t="s">
        <v>255</v>
      </c>
      <c r="D50" s="28" t="s">
        <v>256</v>
      </c>
      <c r="E50" s="28" t="s">
        <v>257</v>
      </c>
      <c r="F50" s="46" t="s">
        <v>218</v>
      </c>
    </row>
    <row r="51" spans="1:6" x14ac:dyDescent="0.25">
      <c r="A51" s="25" t="str">
        <f>A32</f>
        <v>Kundefordr. per 30.04</v>
      </c>
      <c r="B51" s="2">
        <f>B32</f>
        <v>67500</v>
      </c>
      <c r="C51" s="2"/>
      <c r="D51" s="2"/>
      <c r="E51" s="2"/>
    </row>
    <row r="52" spans="1:6" x14ac:dyDescent="0.25">
      <c r="A52" s="14" t="s">
        <v>361</v>
      </c>
      <c r="B52" s="2">
        <f>(5/8)*(B47+B48)</f>
        <v>208593.75</v>
      </c>
      <c r="C52" s="2">
        <f>(3/8)*(B47+B48)</f>
        <v>125156.25</v>
      </c>
      <c r="D52" s="2"/>
      <c r="E52" s="2"/>
    </row>
    <row r="53" spans="1:6" x14ac:dyDescent="0.25">
      <c r="A53" s="14" t="s">
        <v>360</v>
      </c>
      <c r="B53" s="2"/>
      <c r="C53" s="2">
        <f>(5/8)*(C47+C48)</f>
        <v>298046.875</v>
      </c>
      <c r="D53" s="2">
        <f>(3/8)*(C47+C48)</f>
        <v>178828.125</v>
      </c>
      <c r="E53" s="2"/>
    </row>
    <row r="54" spans="1:6" x14ac:dyDescent="0.25">
      <c r="A54" s="14" t="s">
        <v>362</v>
      </c>
      <c r="D54" s="2">
        <f>(5/8)*(D47+D48)</f>
        <v>457031.25</v>
      </c>
      <c r="E54" s="2">
        <f>(3/8)*(D47+D48)</f>
        <v>274218.75</v>
      </c>
    </row>
    <row r="55" spans="1:6" x14ac:dyDescent="0.25">
      <c r="A55" s="1" t="s">
        <v>363</v>
      </c>
      <c r="B55" s="1"/>
      <c r="C55" s="1"/>
      <c r="D55" s="1"/>
      <c r="E55" s="4">
        <f>(5/8)*(E47+E48)</f>
        <v>685546.875</v>
      </c>
      <c r="F55" s="4">
        <f>(3/8)*(E47+E48)</f>
        <v>411328.125</v>
      </c>
    </row>
    <row r="56" spans="1:6" x14ac:dyDescent="0.25">
      <c r="A56" s="25" t="s">
        <v>364</v>
      </c>
      <c r="B56" s="2">
        <f>SUM(B51:B55)</f>
        <v>276093.75</v>
      </c>
      <c r="C56" s="2">
        <f t="shared" ref="C56:F56" si="3">SUM(C51:C55)</f>
        <v>423203.125</v>
      </c>
      <c r="D56" s="2">
        <f t="shared" si="3"/>
        <v>635859.375</v>
      </c>
      <c r="E56" s="2">
        <f t="shared" si="3"/>
        <v>959765.625</v>
      </c>
      <c r="F56" s="2">
        <f t="shared" si="3"/>
        <v>411328.125</v>
      </c>
    </row>
    <row r="58" spans="1:6" x14ac:dyDescent="0.25">
      <c r="A58" s="1" t="s">
        <v>365</v>
      </c>
      <c r="B58" s="28" t="s">
        <v>254</v>
      </c>
      <c r="C58" s="28" t="s">
        <v>255</v>
      </c>
      <c r="D58" s="28" t="s">
        <v>256</v>
      </c>
      <c r="E58" s="28" t="s">
        <v>257</v>
      </c>
      <c r="F58" s="48"/>
    </row>
    <row r="59" spans="1:6" x14ac:dyDescent="0.25">
      <c r="A59" t="s">
        <v>366</v>
      </c>
      <c r="B59" s="2">
        <f>$B$16*(B6+B18)</f>
        <v>162000</v>
      </c>
      <c r="C59" s="2">
        <f>$B$16*C6</f>
        <v>144000</v>
      </c>
      <c r="D59" s="2">
        <f>$B$16*(D6-B18)</f>
        <v>198000</v>
      </c>
      <c r="E59" s="2">
        <f t="shared" ref="E59" si="4">$B$16*E6</f>
        <v>0</v>
      </c>
      <c r="F59" s="2"/>
    </row>
    <row r="60" spans="1:6" x14ac:dyDescent="0.25">
      <c r="A60" t="s">
        <v>367</v>
      </c>
      <c r="B60" s="2">
        <f>$B$20*B40</f>
        <v>20000</v>
      </c>
      <c r="C60" s="2">
        <f t="shared" ref="C60:E60" si="5">$B$20*C40</f>
        <v>20000</v>
      </c>
      <c r="D60" s="2">
        <f t="shared" si="5"/>
        <v>30000</v>
      </c>
      <c r="E60" s="2">
        <f t="shared" si="5"/>
        <v>0</v>
      </c>
      <c r="F60" s="2"/>
    </row>
    <row r="61" spans="1:6" x14ac:dyDescent="0.25">
      <c r="A61" t="s">
        <v>369</v>
      </c>
      <c r="B61" s="2">
        <f>$B$21*(B41+B42)</f>
        <v>12000</v>
      </c>
      <c r="C61" s="2">
        <f t="shared" ref="C61:E61" si="6">$B$21*(C41+C42)</f>
        <v>16000</v>
      </c>
      <c r="D61" s="2">
        <f t="shared" si="6"/>
        <v>24000</v>
      </c>
      <c r="E61" s="2">
        <f t="shared" si="6"/>
        <v>36000</v>
      </c>
      <c r="F61" s="2"/>
    </row>
    <row r="62" spans="1:6" x14ac:dyDescent="0.25">
      <c r="A62" s="1" t="s">
        <v>370</v>
      </c>
      <c r="B62" s="4">
        <f>$B$22*2</f>
        <v>35000</v>
      </c>
      <c r="C62" s="4">
        <f t="shared" ref="C62:E62" si="7">$B$22*2</f>
        <v>35000</v>
      </c>
      <c r="D62" s="4">
        <f t="shared" si="7"/>
        <v>35000</v>
      </c>
      <c r="E62" s="4">
        <f t="shared" si="7"/>
        <v>35000</v>
      </c>
      <c r="F62" s="2"/>
    </row>
    <row r="63" spans="1:6" x14ac:dyDescent="0.25">
      <c r="A63" t="s">
        <v>85</v>
      </c>
      <c r="B63" s="2">
        <f>SUM(B59:B62)</f>
        <v>229000</v>
      </c>
      <c r="C63" s="2">
        <f t="shared" ref="C63:E63" si="8">SUM(C59:C62)</f>
        <v>215000</v>
      </c>
      <c r="D63" s="2">
        <f t="shared" si="8"/>
        <v>287000</v>
      </c>
      <c r="E63" s="2">
        <f t="shared" si="8"/>
        <v>71000</v>
      </c>
      <c r="F63" s="2"/>
    </row>
    <row r="64" spans="1:6" x14ac:dyDescent="0.25">
      <c r="A64" t="s">
        <v>368</v>
      </c>
      <c r="B64" s="2">
        <f>$B$35*B63</f>
        <v>57250</v>
      </c>
      <c r="C64" s="2">
        <f t="shared" ref="C64:E64" si="9">$B$35*C63</f>
        <v>53750</v>
      </c>
      <c r="D64" s="2">
        <f t="shared" si="9"/>
        <v>71750</v>
      </c>
      <c r="E64" s="2">
        <f t="shared" si="9"/>
        <v>17750</v>
      </c>
      <c r="F64" s="2"/>
    </row>
    <row r="65" spans="1:6" x14ac:dyDescent="0.25">
      <c r="B65" s="2"/>
      <c r="C65" s="2"/>
      <c r="D65" s="2"/>
      <c r="E65" s="2"/>
      <c r="F65" s="2"/>
    </row>
    <row r="66" spans="1:6" x14ac:dyDescent="0.25">
      <c r="A66" s="1" t="s">
        <v>371</v>
      </c>
      <c r="B66" s="28" t="s">
        <v>254</v>
      </c>
      <c r="C66" s="28" t="s">
        <v>255</v>
      </c>
      <c r="D66" s="28" t="s">
        <v>256</v>
      </c>
      <c r="E66" s="28" t="s">
        <v>257</v>
      </c>
      <c r="F66" s="46" t="s">
        <v>218</v>
      </c>
    </row>
    <row r="67" spans="1:6" x14ac:dyDescent="0.25">
      <c r="A67" t="str">
        <f>A34</f>
        <v>Lev.gjeld per 30.04</v>
      </c>
      <c r="B67" s="2">
        <f>B34</f>
        <v>47000</v>
      </c>
      <c r="C67" s="2"/>
      <c r="D67" s="2"/>
      <c r="E67" s="2"/>
      <c r="F67" s="2"/>
    </row>
    <row r="68" spans="1:6" x14ac:dyDescent="0.25">
      <c r="A68" t="s">
        <v>372</v>
      </c>
      <c r="B68" s="2">
        <f>(3/4)*(B63+B64)</f>
        <v>214687.5</v>
      </c>
      <c r="C68" s="2">
        <f>(1/4)*(B63+B64)</f>
        <v>71562.5</v>
      </c>
      <c r="D68" s="2"/>
      <c r="E68" s="2"/>
      <c r="F68" s="2"/>
    </row>
    <row r="69" spans="1:6" x14ac:dyDescent="0.25">
      <c r="A69" t="s">
        <v>373</v>
      </c>
      <c r="B69" s="2"/>
      <c r="C69" s="2">
        <f>(3/4)*(C63+C64)</f>
        <v>201562.5</v>
      </c>
      <c r="D69" s="2">
        <f>(1/4)*(C63+C64)</f>
        <v>67187.5</v>
      </c>
      <c r="E69" s="2"/>
      <c r="F69" s="2"/>
    </row>
    <row r="70" spans="1:6" x14ac:dyDescent="0.25">
      <c r="A70" t="s">
        <v>374</v>
      </c>
      <c r="B70" s="2"/>
      <c r="C70" s="2"/>
      <c r="D70" s="2">
        <f>(3/4)*(D63+D64)</f>
        <v>269062.5</v>
      </c>
      <c r="E70" s="2">
        <f>(1/4)*(D63+D64)</f>
        <v>89687.5</v>
      </c>
    </row>
    <row r="71" spans="1:6" x14ac:dyDescent="0.25">
      <c r="A71" s="1" t="s">
        <v>375</v>
      </c>
      <c r="B71" s="4"/>
      <c r="C71" s="4"/>
      <c r="D71" s="4"/>
      <c r="E71" s="4">
        <f>(3/4)*(E63+E64)</f>
        <v>66562.5</v>
      </c>
      <c r="F71" s="4">
        <f>(1/4)*(E63+E64)</f>
        <v>22187.5</v>
      </c>
    </row>
    <row r="72" spans="1:6" x14ac:dyDescent="0.25">
      <c r="A72" s="25" t="s">
        <v>174</v>
      </c>
      <c r="B72" s="2">
        <f>SUM(B67:B71)</f>
        <v>261687.5</v>
      </c>
      <c r="C72" s="2">
        <f t="shared" ref="C72:F72" si="10">SUM(C67:C71)</f>
        <v>273125</v>
      </c>
      <c r="D72" s="2">
        <f t="shared" si="10"/>
        <v>336250</v>
      </c>
      <c r="E72" s="2">
        <f t="shared" si="10"/>
        <v>156250</v>
      </c>
      <c r="F72" s="2">
        <f t="shared" si="10"/>
        <v>22187.5</v>
      </c>
    </row>
    <row r="73" spans="1:6" x14ac:dyDescent="0.25">
      <c r="B73" s="2"/>
      <c r="C73" s="2"/>
      <c r="D73" s="2"/>
      <c r="E73" s="2"/>
    </row>
    <row r="74" spans="1:6" x14ac:dyDescent="0.25">
      <c r="A74" s="1" t="s">
        <v>376</v>
      </c>
      <c r="B74" s="28" t="s">
        <v>254</v>
      </c>
      <c r="C74" s="28" t="s">
        <v>255</v>
      </c>
      <c r="D74" s="28" t="s">
        <v>256</v>
      </c>
      <c r="E74" s="28" t="s">
        <v>257</v>
      </c>
      <c r="F74" s="46" t="s">
        <v>218</v>
      </c>
    </row>
    <row r="75" spans="1:6" x14ac:dyDescent="0.25">
      <c r="A75" t="str">
        <f>A48</f>
        <v>Utgående mva.</v>
      </c>
      <c r="B75" s="2">
        <f>B48</f>
        <v>66750</v>
      </c>
      <c r="C75" s="2">
        <f t="shared" ref="C75:E75" si="11">C48</f>
        <v>95375</v>
      </c>
      <c r="D75" s="2">
        <f t="shared" si="11"/>
        <v>146250</v>
      </c>
      <c r="E75" s="2">
        <f t="shared" si="11"/>
        <v>219375</v>
      </c>
      <c r="F75" s="2"/>
    </row>
    <row r="76" spans="1:6" x14ac:dyDescent="0.25">
      <c r="A76" s="1" t="str">
        <f>A64</f>
        <v>Inngående mva.</v>
      </c>
      <c r="B76" s="4">
        <f>B64</f>
        <v>57250</v>
      </c>
      <c r="C76" s="4">
        <f t="shared" ref="C76:E76" si="12">C64</f>
        <v>53750</v>
      </c>
      <c r="D76" s="4">
        <f t="shared" si="12"/>
        <v>71750</v>
      </c>
      <c r="E76" s="4">
        <f t="shared" si="12"/>
        <v>17750</v>
      </c>
      <c r="F76" s="1"/>
    </row>
    <row r="77" spans="1:6" x14ac:dyDescent="0.25">
      <c r="A77" s="35" t="s">
        <v>377</v>
      </c>
      <c r="B77" s="30">
        <f>B75-B76</f>
        <v>9500</v>
      </c>
      <c r="C77" s="30">
        <f t="shared" ref="C77:E77" si="13">C75-C76</f>
        <v>41625</v>
      </c>
      <c r="D77" s="30">
        <f t="shared" si="13"/>
        <v>74500</v>
      </c>
      <c r="E77" s="30">
        <f t="shared" si="13"/>
        <v>201625</v>
      </c>
      <c r="F77" s="35"/>
    </row>
    <row r="78" spans="1:6" x14ac:dyDescent="0.25">
      <c r="A78" t="s">
        <v>378</v>
      </c>
      <c r="B78" s="2">
        <f>B36</f>
        <v>49800</v>
      </c>
      <c r="C78" s="2">
        <f>B77</f>
        <v>9500</v>
      </c>
      <c r="D78" s="2">
        <f t="shared" ref="D78:F78" si="14">C77</f>
        <v>41625</v>
      </c>
      <c r="E78" s="2">
        <f t="shared" si="14"/>
        <v>74500</v>
      </c>
      <c r="F78" s="2">
        <f t="shared" si="14"/>
        <v>201625</v>
      </c>
    </row>
    <row r="79" spans="1:6" x14ac:dyDescent="0.25">
      <c r="B79" s="2"/>
      <c r="C79" s="2"/>
      <c r="D79" s="2"/>
      <c r="E79" s="2"/>
    </row>
    <row r="80" spans="1:6" x14ac:dyDescent="0.25">
      <c r="A80" s="1" t="s">
        <v>379</v>
      </c>
      <c r="B80" s="28" t="s">
        <v>254</v>
      </c>
      <c r="C80" s="28" t="s">
        <v>255</v>
      </c>
      <c r="D80" s="28" t="s">
        <v>256</v>
      </c>
      <c r="E80" s="28" t="s">
        <v>257</v>
      </c>
      <c r="F80" s="46" t="s">
        <v>218</v>
      </c>
    </row>
    <row r="81" spans="1:6" x14ac:dyDescent="0.25">
      <c r="A81" t="s">
        <v>308</v>
      </c>
      <c r="B81" s="2"/>
      <c r="C81" s="2"/>
      <c r="D81" s="2"/>
      <c r="E81" s="2"/>
    </row>
    <row r="82" spans="1:6" x14ac:dyDescent="0.25">
      <c r="A82" t="s">
        <v>51</v>
      </c>
      <c r="F82" s="2">
        <f>F56</f>
        <v>411328.125</v>
      </c>
    </row>
    <row r="83" spans="1:6" x14ac:dyDescent="0.25">
      <c r="A83" s="1" t="s">
        <v>235</v>
      </c>
      <c r="B83" s="4">
        <f>B56</f>
        <v>276093.75</v>
      </c>
      <c r="C83" s="4">
        <f t="shared" ref="C83:E83" si="15">C56</f>
        <v>423203.125</v>
      </c>
      <c r="D83" s="4">
        <f t="shared" si="15"/>
        <v>635859.375</v>
      </c>
      <c r="E83" s="4">
        <f t="shared" si="15"/>
        <v>959765.625</v>
      </c>
      <c r="F83" s="1"/>
    </row>
    <row r="84" spans="1:6" x14ac:dyDescent="0.25">
      <c r="A84" s="35" t="s">
        <v>296</v>
      </c>
      <c r="B84" s="30">
        <f>B83</f>
        <v>276093.75</v>
      </c>
      <c r="C84" s="30">
        <f t="shared" ref="C84:E84" si="16">C83</f>
        <v>423203.125</v>
      </c>
      <c r="D84" s="30">
        <f t="shared" si="16"/>
        <v>635859.375</v>
      </c>
      <c r="E84" s="30">
        <f t="shared" si="16"/>
        <v>959765.625</v>
      </c>
      <c r="F84" s="35"/>
    </row>
    <row r="85" spans="1:6" x14ac:dyDescent="0.25">
      <c r="A85" t="s">
        <v>309</v>
      </c>
    </row>
    <row r="86" spans="1:6" x14ac:dyDescent="0.25">
      <c r="A86" t="s">
        <v>383</v>
      </c>
      <c r="B86" s="2">
        <f>B72</f>
        <v>261687.5</v>
      </c>
      <c r="C86" s="2">
        <f t="shared" ref="C86:F86" si="17">C72</f>
        <v>273125</v>
      </c>
      <c r="D86" s="2">
        <f t="shared" si="17"/>
        <v>336250</v>
      </c>
      <c r="E86" s="2">
        <f t="shared" si="17"/>
        <v>156250</v>
      </c>
      <c r="F86" s="2">
        <f t="shared" si="17"/>
        <v>22187.5</v>
      </c>
    </row>
    <row r="87" spans="1:6" x14ac:dyDescent="0.25">
      <c r="A87" t="s">
        <v>380</v>
      </c>
      <c r="B87" s="2">
        <f>2*($B$26*$B$27+$B$28)</f>
        <v>367200</v>
      </c>
      <c r="C87" s="2">
        <f t="shared" ref="C87:D87" si="18">2*($B$26*$B$27+$B$28)</f>
        <v>367200</v>
      </c>
      <c r="D87" s="2">
        <f t="shared" si="18"/>
        <v>367200</v>
      </c>
      <c r="E87" s="2">
        <f>2*$B$28</f>
        <v>36000</v>
      </c>
      <c r="F87" s="2">
        <f>$B$29*SUM(B87:E87)</f>
        <v>136512</v>
      </c>
    </row>
    <row r="88" spans="1:6" x14ac:dyDescent="0.25">
      <c r="A88" s="1" t="s">
        <v>384</v>
      </c>
      <c r="B88" s="1"/>
      <c r="C88" s="1"/>
      <c r="D88" s="4">
        <f>B23/2</f>
        <v>9000</v>
      </c>
      <c r="E88" s="1"/>
      <c r="F88" s="1"/>
    </row>
    <row r="89" spans="1:6" x14ac:dyDescent="0.25">
      <c r="A89" t="s">
        <v>299</v>
      </c>
      <c r="B89" s="2">
        <f>SUM(B86:B88)</f>
        <v>628887.5</v>
      </c>
      <c r="C89" s="2">
        <f t="shared" ref="C89:E89" si="19">SUM(C86:C88)</f>
        <v>640325</v>
      </c>
      <c r="D89" s="2">
        <f t="shared" si="19"/>
        <v>712450</v>
      </c>
      <c r="E89" s="2">
        <f t="shared" si="19"/>
        <v>192250</v>
      </c>
    </row>
    <row r="90" spans="1:6" x14ac:dyDescent="0.25">
      <c r="A90" s="1" t="s">
        <v>377</v>
      </c>
      <c r="B90" s="4">
        <f>B78</f>
        <v>49800</v>
      </c>
      <c r="C90" s="4">
        <f t="shared" ref="C90:E90" si="20">C78</f>
        <v>9500</v>
      </c>
      <c r="D90" s="4">
        <f t="shared" si="20"/>
        <v>41625</v>
      </c>
      <c r="E90" s="4">
        <f t="shared" si="20"/>
        <v>74500</v>
      </c>
      <c r="F90" s="1"/>
    </row>
    <row r="91" spans="1:6" x14ac:dyDescent="0.25">
      <c r="A91" s="35" t="s">
        <v>385</v>
      </c>
      <c r="B91" s="30">
        <f>B84-B89-B90</f>
        <v>-402593.75</v>
      </c>
      <c r="C91" s="30">
        <f t="shared" ref="C91:E91" si="21">C84-C89-C90</f>
        <v>-226621.875</v>
      </c>
      <c r="D91" s="30">
        <f t="shared" si="21"/>
        <v>-118215.625</v>
      </c>
      <c r="E91" s="30">
        <f t="shared" si="21"/>
        <v>693015.625</v>
      </c>
      <c r="F91" s="35"/>
    </row>
    <row r="92" spans="1:6" x14ac:dyDescent="0.25">
      <c r="A92" s="35" t="s">
        <v>311</v>
      </c>
      <c r="B92" s="35"/>
      <c r="C92" s="35"/>
      <c r="D92" s="35"/>
      <c r="E92" s="35"/>
      <c r="F92" s="35"/>
    </row>
    <row r="93" spans="1:6" x14ac:dyDescent="0.25">
      <c r="A93" s="35" t="s">
        <v>312</v>
      </c>
      <c r="B93" s="35"/>
      <c r="C93" s="35"/>
      <c r="D93" s="35"/>
      <c r="E93" s="35"/>
      <c r="F93" s="35"/>
    </row>
    <row r="94" spans="1:6" x14ac:dyDescent="0.25">
      <c r="A94" s="35" t="s">
        <v>381</v>
      </c>
      <c r="B94" s="35"/>
      <c r="C94" s="35"/>
      <c r="D94" s="35"/>
      <c r="E94" s="35"/>
      <c r="F94" s="35"/>
    </row>
    <row r="95" spans="1:6" x14ac:dyDescent="0.25">
      <c r="A95" t="s">
        <v>382</v>
      </c>
      <c r="B95" s="2">
        <f>B91</f>
        <v>-402593.75</v>
      </c>
      <c r="C95" s="2">
        <f t="shared" ref="C95:E95" si="22">C91</f>
        <v>-226621.875</v>
      </c>
      <c r="D95" s="2">
        <f t="shared" si="22"/>
        <v>-118215.625</v>
      </c>
      <c r="E95" s="2">
        <f t="shared" si="22"/>
        <v>693015.625</v>
      </c>
    </row>
    <row r="96" spans="1:6" x14ac:dyDescent="0.25">
      <c r="A96" t="s">
        <v>313</v>
      </c>
      <c r="B96" s="2">
        <v>0</v>
      </c>
      <c r="C96" s="2">
        <f>B97</f>
        <v>-402593.75</v>
      </c>
      <c r="D96" s="2">
        <f t="shared" ref="D96:E96" si="23">C97</f>
        <v>-629215.625</v>
      </c>
      <c r="E96" s="2">
        <f t="shared" si="23"/>
        <v>-747431.25</v>
      </c>
    </row>
    <row r="97" spans="1:5" x14ac:dyDescent="0.25">
      <c r="A97" t="s">
        <v>314</v>
      </c>
      <c r="B97" s="2">
        <f>B95+B96</f>
        <v>-402593.75</v>
      </c>
      <c r="C97" s="2">
        <f>C95+C96</f>
        <v>-629215.625</v>
      </c>
      <c r="D97" s="2">
        <f t="shared" ref="D97:E97" si="24">D95+D96</f>
        <v>-747431.25</v>
      </c>
      <c r="E97" s="2">
        <f t="shared" si="24"/>
        <v>-54415.625</v>
      </c>
    </row>
    <row r="99" spans="1:5" x14ac:dyDescent="0.25">
      <c r="A99" t="s">
        <v>386</v>
      </c>
      <c r="B99" s="2">
        <f>-MIN(B97:E97)</f>
        <v>747431.25</v>
      </c>
    </row>
  </sheetData>
  <pageMargins left="0.7" right="0.7" top="0.75" bottom="0.75" header="0.3" footer="0.3"/>
  <ignoredErrors>
    <ignoredError sqref="D5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32.7109375" style="49" customWidth="1"/>
    <col min="2" max="6" width="11.42578125" style="49" customWidth="1"/>
    <col min="7" max="7" width="10.85546875" style="49" customWidth="1"/>
    <col min="8" max="8" width="11.42578125" style="49" customWidth="1"/>
    <col min="9" max="9" width="12.7109375" style="49" customWidth="1"/>
    <col min="10" max="10" width="6.7109375" style="49" customWidth="1"/>
    <col min="11" max="11" width="8.5703125" style="49" customWidth="1"/>
    <col min="12" max="256" width="9.140625" style="49" customWidth="1"/>
    <col min="257" max="16384" width="11.42578125" style="49"/>
  </cols>
  <sheetData>
    <row r="1" spans="1:11" ht="15" x14ac:dyDescent="0.2">
      <c r="A1" s="98" t="s">
        <v>387</v>
      </c>
      <c r="B1" s="51"/>
      <c r="C1" s="51"/>
      <c r="D1" s="98" t="s">
        <v>511</v>
      </c>
      <c r="E1" s="51"/>
    </row>
    <row r="2" spans="1:11" ht="15" x14ac:dyDescent="0.2">
      <c r="A2" s="98"/>
      <c r="B2" s="51"/>
      <c r="C2" s="51"/>
      <c r="D2" s="98"/>
      <c r="E2" s="51"/>
    </row>
    <row r="4" spans="1:11" x14ac:dyDescent="0.2">
      <c r="A4" s="65" t="s">
        <v>510</v>
      </c>
      <c r="C4" s="97" t="s">
        <v>509</v>
      </c>
      <c r="D4" s="96" t="s">
        <v>508</v>
      </c>
      <c r="F4" s="95" t="s">
        <v>507</v>
      </c>
    </row>
    <row r="5" spans="1:11" x14ac:dyDescent="0.2">
      <c r="A5" s="49" t="s">
        <v>506</v>
      </c>
      <c r="B5" s="50">
        <v>112000</v>
      </c>
      <c r="C5" s="75">
        <v>16000</v>
      </c>
      <c r="D5" s="50">
        <v>7</v>
      </c>
      <c r="E5" s="50"/>
      <c r="F5" s="69"/>
      <c r="G5" s="50"/>
      <c r="H5" s="50"/>
      <c r="I5" s="50"/>
      <c r="J5" s="50"/>
    </row>
    <row r="6" spans="1:11" x14ac:dyDescent="0.2">
      <c r="A6" s="49" t="s">
        <v>505</v>
      </c>
      <c r="B6" s="50">
        <v>11520</v>
      </c>
      <c r="C6" s="75">
        <v>60</v>
      </c>
      <c r="D6" s="50">
        <v>192</v>
      </c>
      <c r="E6" s="50"/>
      <c r="F6" s="85" t="s">
        <v>504</v>
      </c>
      <c r="G6" s="84">
        <v>2000</v>
      </c>
      <c r="H6" s="92"/>
      <c r="I6" s="84" t="s">
        <v>503</v>
      </c>
      <c r="J6" s="84">
        <v>8000</v>
      </c>
      <c r="K6" s="83"/>
    </row>
    <row r="7" spans="1:11" x14ac:dyDescent="0.2">
      <c r="A7" s="49" t="s">
        <v>502</v>
      </c>
      <c r="B7" s="50">
        <v>2880</v>
      </c>
      <c r="C7" s="75">
        <v>12</v>
      </c>
      <c r="D7" s="50">
        <v>240</v>
      </c>
      <c r="E7" s="50"/>
      <c r="F7" s="85" t="s">
        <v>501</v>
      </c>
      <c r="G7" s="84">
        <v>6400</v>
      </c>
      <c r="H7" s="92"/>
      <c r="I7" s="84" t="s">
        <v>61</v>
      </c>
      <c r="J7" s="84">
        <v>3110</v>
      </c>
      <c r="K7" s="83"/>
    </row>
    <row r="8" spans="1:11" x14ac:dyDescent="0.2">
      <c r="A8" s="49" t="s">
        <v>500</v>
      </c>
      <c r="B8" s="50">
        <v>61600</v>
      </c>
      <c r="C8" s="77">
        <v>112000</v>
      </c>
      <c r="D8" s="94">
        <v>0.55000000000000004</v>
      </c>
      <c r="E8" s="50"/>
      <c r="F8" s="85" t="s">
        <v>499</v>
      </c>
      <c r="G8" s="84">
        <v>3554</v>
      </c>
      <c r="H8" s="92"/>
      <c r="I8" s="84" t="s">
        <v>498</v>
      </c>
      <c r="J8" s="84">
        <v>2190</v>
      </c>
      <c r="K8" s="83"/>
    </row>
    <row r="9" spans="1:11" x14ac:dyDescent="0.2">
      <c r="A9" s="49" t="s">
        <v>435</v>
      </c>
      <c r="B9" s="50">
        <v>12160</v>
      </c>
      <c r="C9" s="75"/>
      <c r="D9" s="50"/>
      <c r="E9" s="50"/>
      <c r="F9" s="85" t="s">
        <v>497</v>
      </c>
      <c r="G9" s="84">
        <v>6210</v>
      </c>
      <c r="H9" s="92"/>
      <c r="I9" s="84" t="s">
        <v>496</v>
      </c>
      <c r="J9" s="84">
        <v>1730</v>
      </c>
      <c r="K9" s="83"/>
    </row>
    <row r="10" spans="1:11" x14ac:dyDescent="0.2">
      <c r="A10" s="49" t="s">
        <v>434</v>
      </c>
      <c r="B10" s="50">
        <v>16150</v>
      </c>
      <c r="C10" s="76"/>
      <c r="D10" s="50"/>
      <c r="E10" s="50"/>
      <c r="F10" s="85"/>
      <c r="G10" s="84"/>
      <c r="H10" s="92"/>
      <c r="I10" s="84" t="s">
        <v>495</v>
      </c>
      <c r="J10" s="84">
        <v>10410</v>
      </c>
      <c r="K10" s="83"/>
    </row>
    <row r="11" spans="1:11" x14ac:dyDescent="0.2">
      <c r="A11" s="59" t="s">
        <v>127</v>
      </c>
      <c r="B11" s="58">
        <v>3620</v>
      </c>
      <c r="C11" s="75"/>
      <c r="D11" s="50"/>
      <c r="E11" s="50"/>
      <c r="F11" s="85" t="s">
        <v>494</v>
      </c>
      <c r="G11" s="84">
        <v>6156</v>
      </c>
      <c r="H11" s="92" t="s">
        <v>513</v>
      </c>
      <c r="I11" s="84"/>
      <c r="J11" s="84"/>
      <c r="K11" s="83"/>
    </row>
    <row r="12" spans="1:11" x14ac:dyDescent="0.2">
      <c r="A12" s="65" t="s">
        <v>2</v>
      </c>
      <c r="B12" s="63">
        <f>B5-B6-B7-B8-B9-B10-B11</f>
        <v>4070</v>
      </c>
      <c r="C12" s="75"/>
      <c r="D12" s="50"/>
      <c r="E12" s="50"/>
      <c r="F12" s="85" t="s">
        <v>493</v>
      </c>
      <c r="G12" s="84">
        <v>5170</v>
      </c>
      <c r="H12" s="92" t="s">
        <v>512</v>
      </c>
      <c r="I12" s="84" t="s">
        <v>492</v>
      </c>
      <c r="J12" s="84">
        <v>5594</v>
      </c>
      <c r="K12" s="99">
        <v>6000</v>
      </c>
    </row>
    <row r="13" spans="1:11" x14ac:dyDescent="0.2">
      <c r="A13" s="59" t="s">
        <v>491</v>
      </c>
      <c r="B13" s="58">
        <v>1880</v>
      </c>
      <c r="C13" s="75"/>
      <c r="D13" s="50"/>
      <c r="E13" s="50"/>
      <c r="F13" s="85" t="s">
        <v>490</v>
      </c>
      <c r="G13" s="84">
        <v>11480</v>
      </c>
      <c r="H13" s="92"/>
      <c r="I13" s="84" t="s">
        <v>489</v>
      </c>
      <c r="J13" s="84">
        <v>7500</v>
      </c>
      <c r="K13" s="93" t="s">
        <v>514</v>
      </c>
    </row>
    <row r="14" spans="1:11" x14ac:dyDescent="0.2">
      <c r="A14" s="65" t="s">
        <v>320</v>
      </c>
      <c r="B14" s="63">
        <f>B12-B13</f>
        <v>2190</v>
      </c>
      <c r="C14" s="75"/>
      <c r="D14" s="50"/>
      <c r="E14" s="50"/>
      <c r="F14" s="85" t="s">
        <v>488</v>
      </c>
      <c r="G14" s="84">
        <v>1194</v>
      </c>
      <c r="H14" s="92">
        <v>750</v>
      </c>
      <c r="I14" s="84" t="s">
        <v>487</v>
      </c>
      <c r="J14" s="84">
        <v>740</v>
      </c>
      <c r="K14" s="83"/>
    </row>
    <row r="15" spans="1:11" x14ac:dyDescent="0.2">
      <c r="B15" s="50"/>
      <c r="C15" s="50"/>
      <c r="D15" s="50"/>
      <c r="E15" s="50"/>
      <c r="F15" s="85"/>
      <c r="G15" s="84"/>
      <c r="H15" s="92" t="s">
        <v>486</v>
      </c>
      <c r="I15" s="84" t="s">
        <v>485</v>
      </c>
      <c r="J15" s="84">
        <v>890</v>
      </c>
      <c r="K15" s="83"/>
    </row>
    <row r="16" spans="1:11" x14ac:dyDescent="0.2">
      <c r="A16" s="65" t="s">
        <v>484</v>
      </c>
      <c r="B16" s="50"/>
      <c r="C16" s="50"/>
      <c r="D16" s="50"/>
      <c r="E16" s="50"/>
      <c r="F16" s="85"/>
      <c r="G16" s="84"/>
      <c r="H16" s="92"/>
      <c r="I16" s="84" t="s">
        <v>483</v>
      </c>
      <c r="J16" s="84">
        <v>750</v>
      </c>
      <c r="K16" s="83"/>
    </row>
    <row r="17" spans="1:11" x14ac:dyDescent="0.2">
      <c r="A17" s="49" t="s">
        <v>482</v>
      </c>
      <c r="B17" s="82">
        <v>0.3</v>
      </c>
      <c r="C17" s="49" t="s">
        <v>481</v>
      </c>
      <c r="D17" s="50"/>
      <c r="E17" s="50"/>
      <c r="F17" s="91"/>
      <c r="G17" s="89"/>
      <c r="H17" s="90"/>
      <c r="I17" s="89" t="s">
        <v>480</v>
      </c>
      <c r="J17" s="89">
        <v>1250</v>
      </c>
      <c r="K17" s="83"/>
    </row>
    <row r="18" spans="1:11" x14ac:dyDescent="0.2">
      <c r="A18" s="49" t="s">
        <v>479</v>
      </c>
      <c r="B18" s="50">
        <v>15</v>
      </c>
      <c r="C18" s="50" t="s">
        <v>475</v>
      </c>
      <c r="D18" s="50"/>
      <c r="E18" s="50"/>
      <c r="F18" s="88" t="s">
        <v>478</v>
      </c>
      <c r="G18" s="86">
        <f>SUM(G6:G14)</f>
        <v>42164</v>
      </c>
      <c r="H18" s="87"/>
      <c r="I18" s="86" t="s">
        <v>477</v>
      </c>
      <c r="J18" s="86">
        <f>SUM(J6:J17)</f>
        <v>42164</v>
      </c>
      <c r="K18" s="83"/>
    </row>
    <row r="19" spans="1:11" x14ac:dyDescent="0.2">
      <c r="A19" s="49" t="s">
        <v>476</v>
      </c>
      <c r="B19" s="50">
        <v>2</v>
      </c>
      <c r="C19" s="50" t="s">
        <v>475</v>
      </c>
      <c r="D19" s="50"/>
      <c r="E19" s="50"/>
      <c r="F19" s="85"/>
      <c r="G19" s="84"/>
      <c r="H19" s="84"/>
      <c r="I19" s="84"/>
      <c r="J19" s="84"/>
      <c r="K19" s="83"/>
    </row>
    <row r="20" spans="1:11" x14ac:dyDescent="0.2">
      <c r="A20" s="49" t="s">
        <v>474</v>
      </c>
      <c r="B20" s="50">
        <v>15</v>
      </c>
      <c r="C20" s="50"/>
      <c r="D20" s="50"/>
      <c r="E20" s="50"/>
      <c r="F20" s="75"/>
      <c r="G20" s="50"/>
      <c r="H20" s="50"/>
      <c r="I20" s="50"/>
      <c r="J20" s="50"/>
      <c r="K20" s="50"/>
    </row>
    <row r="21" spans="1:11" x14ac:dyDescent="0.2">
      <c r="A21" s="49" t="s">
        <v>473</v>
      </c>
      <c r="B21" s="50">
        <f>B35/2</f>
        <v>466.66666666666663</v>
      </c>
      <c r="C21" s="50" t="s">
        <v>472</v>
      </c>
      <c r="D21" s="50">
        <v>1155</v>
      </c>
      <c r="E21" s="50" t="s">
        <v>471</v>
      </c>
      <c r="F21" s="75"/>
      <c r="G21" s="50"/>
      <c r="H21" s="50"/>
      <c r="I21" s="50"/>
      <c r="J21" s="50"/>
      <c r="K21" s="50"/>
    </row>
    <row r="22" spans="1:11" x14ac:dyDescent="0.2">
      <c r="A22" s="49" t="s">
        <v>470</v>
      </c>
      <c r="B22" s="50">
        <f>C37/2</f>
        <v>3266.6666666666665</v>
      </c>
      <c r="C22" s="50" t="s">
        <v>469</v>
      </c>
      <c r="D22" s="50">
        <v>9400</v>
      </c>
      <c r="E22" s="50" t="s">
        <v>468</v>
      </c>
      <c r="F22" s="75"/>
      <c r="G22" s="50"/>
      <c r="H22" s="50"/>
      <c r="I22" s="50"/>
      <c r="J22" s="50"/>
      <c r="K22" s="50"/>
    </row>
    <row r="23" spans="1:11" x14ac:dyDescent="0.2">
      <c r="A23" s="49" t="s">
        <v>467</v>
      </c>
      <c r="B23" s="82">
        <v>0.25</v>
      </c>
      <c r="C23" s="50"/>
      <c r="D23" s="50"/>
      <c r="E23" s="50"/>
      <c r="F23" s="75"/>
      <c r="G23" s="50"/>
      <c r="H23" s="50"/>
      <c r="I23" s="50"/>
      <c r="J23" s="50"/>
      <c r="K23" s="50"/>
    </row>
    <row r="24" spans="1:11" x14ac:dyDescent="0.2">
      <c r="A24" s="49" t="s">
        <v>466</v>
      </c>
      <c r="B24" s="82">
        <v>0.25</v>
      </c>
      <c r="C24" s="50"/>
      <c r="D24" s="50"/>
      <c r="E24" s="81"/>
      <c r="F24" s="81"/>
      <c r="G24" s="50"/>
      <c r="H24" s="50"/>
      <c r="I24" s="50"/>
      <c r="J24" s="50"/>
      <c r="K24" s="50"/>
    </row>
    <row r="25" spans="1:11" x14ac:dyDescent="0.2">
      <c r="A25" s="49" t="s">
        <v>465</v>
      </c>
      <c r="B25" s="82">
        <v>0.5</v>
      </c>
      <c r="C25" s="50"/>
      <c r="D25" s="50"/>
      <c r="E25" s="81"/>
      <c r="F25" s="81"/>
      <c r="G25" s="50"/>
      <c r="H25" s="50"/>
      <c r="I25" s="50"/>
      <c r="J25" s="50"/>
      <c r="K25" s="50"/>
    </row>
    <row r="26" spans="1:11" x14ac:dyDescent="0.2">
      <c r="A26" s="49" t="s">
        <v>464</v>
      </c>
      <c r="B26" s="50">
        <v>460</v>
      </c>
      <c r="C26" s="50"/>
      <c r="D26" s="50"/>
      <c r="E26" s="81"/>
      <c r="F26" s="81"/>
      <c r="G26" s="50"/>
      <c r="H26" s="50"/>
      <c r="I26" s="50"/>
      <c r="J26" s="50"/>
      <c r="K26" s="50"/>
    </row>
    <row r="27" spans="1:11" x14ac:dyDescent="0.2">
      <c r="A27" s="49" t="s">
        <v>463</v>
      </c>
      <c r="B27" s="50">
        <v>200</v>
      </c>
      <c r="C27" s="50"/>
      <c r="D27" s="50"/>
      <c r="E27" s="81"/>
      <c r="F27" s="81"/>
      <c r="G27" s="50"/>
      <c r="H27" s="50"/>
      <c r="I27" s="50"/>
      <c r="J27" s="50"/>
      <c r="K27" s="50"/>
    </row>
    <row r="28" spans="1:11" x14ac:dyDescent="0.2">
      <c r="A28" s="49" t="s">
        <v>462</v>
      </c>
      <c r="B28" s="82">
        <v>0.25</v>
      </c>
      <c r="C28" s="50"/>
      <c r="D28" s="50"/>
      <c r="E28" s="81"/>
      <c r="F28" s="81"/>
      <c r="G28" s="50"/>
      <c r="H28" s="50"/>
      <c r="I28" s="50"/>
      <c r="J28" s="50"/>
      <c r="K28" s="50"/>
    </row>
    <row r="29" spans="1:11" x14ac:dyDescent="0.2">
      <c r="A29" s="49" t="s">
        <v>461</v>
      </c>
      <c r="B29" s="50">
        <v>30</v>
      </c>
      <c r="C29" s="50"/>
      <c r="D29" s="50"/>
      <c r="E29" s="50"/>
      <c r="F29" s="50"/>
      <c r="G29" s="50"/>
      <c r="H29" s="50"/>
      <c r="I29" s="50"/>
      <c r="J29" s="50"/>
      <c r="K29" s="50"/>
    </row>
    <row r="30" spans="1:11" x14ac:dyDescent="0.2">
      <c r="A30" s="49" t="s">
        <v>460</v>
      </c>
      <c r="B30" s="80">
        <v>0.52500000000000002</v>
      </c>
      <c r="C30" s="50"/>
      <c r="D30" s="50"/>
      <c r="E30" s="50"/>
      <c r="F30" s="50"/>
      <c r="G30" s="50"/>
      <c r="H30" s="50"/>
      <c r="I30" s="50"/>
      <c r="J30" s="50"/>
      <c r="K30" s="50"/>
    </row>
    <row r="31" spans="1:11" x14ac:dyDescent="0.2">
      <c r="A31" s="49" t="s">
        <v>459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x14ac:dyDescent="0.2">
      <c r="B32" s="50"/>
      <c r="C32" s="50"/>
      <c r="D32" s="50"/>
      <c r="E32" s="50"/>
      <c r="F32" s="50"/>
      <c r="G32" s="63" t="s">
        <v>458</v>
      </c>
      <c r="H32" s="50"/>
      <c r="I32" s="50"/>
      <c r="J32" s="50"/>
      <c r="K32" s="50"/>
    </row>
    <row r="33" spans="1:11" x14ac:dyDescent="0.2">
      <c r="A33" s="65" t="s">
        <v>457</v>
      </c>
      <c r="B33" s="50"/>
      <c r="C33" s="50"/>
      <c r="D33" s="50"/>
      <c r="E33" s="50"/>
      <c r="F33" s="50"/>
      <c r="G33" s="50" t="s">
        <v>456</v>
      </c>
      <c r="H33" s="50">
        <f>D22</f>
        <v>9400</v>
      </c>
      <c r="I33" s="50"/>
      <c r="J33" s="50"/>
      <c r="K33" s="50"/>
    </row>
    <row r="34" spans="1:11" x14ac:dyDescent="0.2">
      <c r="A34" s="59"/>
      <c r="B34" s="61" t="s">
        <v>405</v>
      </c>
      <c r="C34" s="61" t="s">
        <v>404</v>
      </c>
      <c r="D34" s="61" t="s">
        <v>403</v>
      </c>
      <c r="E34" s="61" t="s">
        <v>402</v>
      </c>
      <c r="F34" s="50"/>
      <c r="G34" s="58" t="s">
        <v>455</v>
      </c>
      <c r="H34" s="58">
        <f>B37</f>
        <v>1715</v>
      </c>
      <c r="I34" s="50"/>
      <c r="J34" s="50"/>
      <c r="K34" s="50"/>
    </row>
    <row r="35" spans="1:11" x14ac:dyDescent="0.2">
      <c r="A35" s="49" t="s">
        <v>454</v>
      </c>
      <c r="B35" s="50">
        <f>($C$5/12)*(1-$B$17)</f>
        <v>933.33333333333326</v>
      </c>
      <c r="C35" s="50">
        <f>($C$5/12)*(1-$B$17)</f>
        <v>933.33333333333326</v>
      </c>
      <c r="D35" s="50">
        <f>($C$5/12)*(1-$B$17)</f>
        <v>933.33333333333326</v>
      </c>
      <c r="E35" s="50">
        <f>($C$5/12)*(1-$B$17)</f>
        <v>933.33333333333326</v>
      </c>
      <c r="F35" s="50"/>
      <c r="G35" s="50" t="s">
        <v>453</v>
      </c>
      <c r="H35" s="50">
        <f>H33-H34</f>
        <v>7685</v>
      </c>
      <c r="I35" s="79" t="s">
        <v>452</v>
      </c>
      <c r="J35" s="50"/>
      <c r="K35" s="50"/>
    </row>
    <row r="36" spans="1:11" x14ac:dyDescent="0.2">
      <c r="A36" s="49" t="s">
        <v>451</v>
      </c>
      <c r="B36" s="50">
        <f>B21+B35-D21</f>
        <v>245</v>
      </c>
      <c r="C36" s="50">
        <f>($C$5/12)*(1-$B$17)</f>
        <v>933.33333333333326</v>
      </c>
      <c r="D36" s="50">
        <f>($C$5/12)*(1-$B$17)</f>
        <v>933.33333333333326</v>
      </c>
      <c r="E36" s="50">
        <f>($C$5/12)*(1-$B$17)</f>
        <v>933.33333333333326</v>
      </c>
      <c r="F36" s="50"/>
      <c r="G36" s="50" t="s">
        <v>450</v>
      </c>
      <c r="H36" s="50">
        <f>C37</f>
        <v>6533.333333333333</v>
      </c>
      <c r="I36" s="50"/>
      <c r="J36" s="50"/>
      <c r="K36" s="50"/>
    </row>
    <row r="37" spans="1:11" x14ac:dyDescent="0.2">
      <c r="A37" s="49" t="s">
        <v>449</v>
      </c>
      <c r="B37" s="50">
        <f>($C$8/$C$5)*B36</f>
        <v>1715</v>
      </c>
      <c r="C37" s="50">
        <f>($C$8/$C$5)*C36</f>
        <v>6533.333333333333</v>
      </c>
      <c r="D37" s="50">
        <f>($C$8/$C$5)*D36</f>
        <v>6533.333333333333</v>
      </c>
      <c r="E37" s="50">
        <f>($C$8/$C$5)*E36</f>
        <v>6533.333333333333</v>
      </c>
      <c r="F37" s="50"/>
      <c r="G37" s="58" t="s">
        <v>448</v>
      </c>
      <c r="H37" s="58">
        <f>H38+H36-H35</f>
        <v>2115</v>
      </c>
      <c r="I37" s="50"/>
      <c r="J37" s="50"/>
      <c r="K37" s="50"/>
    </row>
    <row r="38" spans="1:11" x14ac:dyDescent="0.2">
      <c r="A38" s="49" t="s">
        <v>447</v>
      </c>
      <c r="B38" s="50"/>
      <c r="C38" s="50">
        <f>H37</f>
        <v>2115</v>
      </c>
      <c r="D38" s="50">
        <f>D37</f>
        <v>6533.333333333333</v>
      </c>
      <c r="E38" s="50">
        <f>E37</f>
        <v>6533.333333333333</v>
      </c>
      <c r="F38" s="50"/>
      <c r="G38" s="50" t="s">
        <v>446</v>
      </c>
      <c r="H38" s="50">
        <f>B22</f>
        <v>3266.6666666666665</v>
      </c>
      <c r="I38" s="79" t="s">
        <v>445</v>
      </c>
      <c r="J38" s="50"/>
      <c r="K38" s="50"/>
    </row>
    <row r="39" spans="1:1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idden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idden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idden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idden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idden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x14ac:dyDescent="0.2">
      <c r="A46" s="100" t="s">
        <v>444</v>
      </c>
      <c r="B46" s="61" t="s">
        <v>405</v>
      </c>
      <c r="C46" s="61" t="s">
        <v>404</v>
      </c>
      <c r="D46" s="61" t="s">
        <v>403</v>
      </c>
      <c r="E46" s="61" t="s">
        <v>402</v>
      </c>
      <c r="F46" s="50"/>
      <c r="G46" s="50"/>
      <c r="H46" s="50"/>
      <c r="I46" s="50"/>
      <c r="J46" s="50"/>
      <c r="K46" s="50"/>
    </row>
    <row r="47" spans="1:11" x14ac:dyDescent="0.2">
      <c r="A47" s="49" t="s">
        <v>443</v>
      </c>
      <c r="B47" s="50">
        <f>B35*$D$5</f>
        <v>6533.333333333333</v>
      </c>
      <c r="C47" s="50">
        <f>C35*$D$5</f>
        <v>6533.333333333333</v>
      </c>
      <c r="D47" s="50">
        <f>D35*$D$5</f>
        <v>6533.333333333333</v>
      </c>
      <c r="E47" s="50">
        <f>E35*$D$5</f>
        <v>6533.333333333333</v>
      </c>
      <c r="F47" s="50"/>
      <c r="G47" s="50"/>
      <c r="H47" s="50"/>
      <c r="I47" s="50"/>
      <c r="J47" s="50"/>
      <c r="K47" s="50"/>
    </row>
    <row r="48" spans="1:11" x14ac:dyDescent="0.2">
      <c r="A48" s="49" t="s">
        <v>442</v>
      </c>
      <c r="B48" s="50">
        <f>B47*$B$28</f>
        <v>1633.3333333333333</v>
      </c>
      <c r="C48" s="50">
        <f>C47*$B$28</f>
        <v>1633.3333333333333</v>
      </c>
      <c r="D48" s="50">
        <f>D47*$B$28</f>
        <v>1633.3333333333333</v>
      </c>
      <c r="E48" s="50">
        <f>E47*$B$28</f>
        <v>1633.3333333333333</v>
      </c>
      <c r="F48" s="50"/>
      <c r="G48" s="50"/>
      <c r="H48" s="50"/>
      <c r="I48" s="50"/>
      <c r="J48" s="50"/>
      <c r="K48" s="50"/>
    </row>
    <row r="49" spans="1:11" x14ac:dyDescent="0.2">
      <c r="A49" s="49" t="s">
        <v>441</v>
      </c>
      <c r="B49" s="50">
        <f>SUM(B47:B48)</f>
        <v>8166.6666666666661</v>
      </c>
      <c r="C49" s="50">
        <f>SUM(C47:C48)</f>
        <v>8166.6666666666661</v>
      </c>
      <c r="D49" s="50">
        <f>SUM(D47:D48)</f>
        <v>8166.6666666666661</v>
      </c>
      <c r="E49" s="50">
        <f>SUM(E47:E48)</f>
        <v>8166.6666666666661</v>
      </c>
      <c r="F49" s="50"/>
      <c r="G49" s="50"/>
      <c r="H49" s="50"/>
      <c r="I49" s="50"/>
      <c r="J49" s="50"/>
      <c r="K49" s="50"/>
    </row>
    <row r="50" spans="1:1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">
      <c r="A51" s="100" t="s">
        <v>440</v>
      </c>
      <c r="B51" s="61" t="s">
        <v>405</v>
      </c>
      <c r="C51" s="61" t="s">
        <v>404</v>
      </c>
      <c r="D51" s="61" t="s">
        <v>403</v>
      </c>
      <c r="E51" s="61" t="s">
        <v>402</v>
      </c>
      <c r="F51" s="61" t="s">
        <v>218</v>
      </c>
      <c r="G51" s="50"/>
      <c r="H51" s="50"/>
      <c r="I51" s="50"/>
      <c r="J51" s="50"/>
      <c r="K51" s="50"/>
    </row>
    <row r="52" spans="1:11" x14ac:dyDescent="0.2">
      <c r="A52" s="49" t="s">
        <v>439</v>
      </c>
      <c r="B52" s="50">
        <f>G13</f>
        <v>11480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1:11" x14ac:dyDescent="0.2">
      <c r="A53" s="59" t="s">
        <v>438</v>
      </c>
      <c r="B53" s="58"/>
      <c r="C53" s="58">
        <f>B49</f>
        <v>8166.6666666666661</v>
      </c>
      <c r="D53" s="58">
        <f>C49</f>
        <v>8166.6666666666661</v>
      </c>
      <c r="E53" s="58">
        <f>D49</f>
        <v>8166.6666666666661</v>
      </c>
      <c r="F53" s="58">
        <f>E49</f>
        <v>8166.6666666666661</v>
      </c>
      <c r="G53" s="50"/>
      <c r="H53" s="50"/>
      <c r="I53" s="50"/>
      <c r="J53" s="50"/>
      <c r="K53" s="50"/>
    </row>
    <row r="54" spans="1:11" x14ac:dyDescent="0.2">
      <c r="A54" s="55" t="s">
        <v>437</v>
      </c>
      <c r="B54" s="78">
        <f>SUM(B52:B53)</f>
        <v>11480</v>
      </c>
      <c r="C54" s="78">
        <f>SUM(C52:C53)</f>
        <v>8166.6666666666661</v>
      </c>
      <c r="D54" s="78">
        <f>SUM(D52:D53)</f>
        <v>8166.6666666666661</v>
      </c>
      <c r="E54" s="78">
        <f>SUM(E52:E53)</f>
        <v>8166.6666666666661</v>
      </c>
      <c r="F54" s="78">
        <f>SUM(F52:F53)</f>
        <v>8166.6666666666661</v>
      </c>
      <c r="G54" s="50"/>
      <c r="H54" s="50"/>
      <c r="I54" s="50"/>
      <c r="J54" s="50"/>
      <c r="K54" s="50"/>
    </row>
    <row r="55" spans="1:1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x14ac:dyDescent="0.2">
      <c r="A57" s="65" t="s">
        <v>436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spans="1:11" x14ac:dyDescent="0.2">
      <c r="B58" s="64" t="s">
        <v>405</v>
      </c>
      <c r="C58" s="64" t="s">
        <v>404</v>
      </c>
      <c r="D58" s="64" t="s">
        <v>403</v>
      </c>
      <c r="E58" s="64" t="s">
        <v>402</v>
      </c>
      <c r="F58" s="71" t="s">
        <v>218</v>
      </c>
      <c r="G58" s="50"/>
      <c r="H58" s="50"/>
      <c r="I58" s="50"/>
      <c r="J58" s="50"/>
      <c r="K58" s="50"/>
    </row>
    <row r="59" spans="1:11" x14ac:dyDescent="0.2">
      <c r="A59" s="49" t="s">
        <v>366</v>
      </c>
      <c r="B59" s="50"/>
      <c r="C59" s="50">
        <f>C38*$B$30</f>
        <v>1110.375</v>
      </c>
      <c r="D59" s="50">
        <f>D38*$B$30</f>
        <v>3430</v>
      </c>
      <c r="E59" s="50">
        <f>E38*$B$30</f>
        <v>3430</v>
      </c>
      <c r="F59" s="75"/>
      <c r="G59" s="50"/>
      <c r="H59" s="50"/>
      <c r="I59" s="50"/>
      <c r="J59" s="50"/>
      <c r="K59" s="50"/>
    </row>
    <row r="60" spans="1:11" x14ac:dyDescent="0.2">
      <c r="A60" s="49" t="s">
        <v>435</v>
      </c>
      <c r="B60" s="50">
        <f>B36*$B$9/$C$5</f>
        <v>186.2</v>
      </c>
      <c r="C60" s="50">
        <f>C36*$B$9/$C$5</f>
        <v>709.33333333333326</v>
      </c>
      <c r="D60" s="50">
        <f>D36*$B$9/$C$5</f>
        <v>709.33333333333326</v>
      </c>
      <c r="E60" s="50">
        <f>E36*$B$9/$C$5</f>
        <v>709.33333333333326</v>
      </c>
      <c r="F60" s="75"/>
      <c r="G60" s="50"/>
      <c r="H60" s="50"/>
      <c r="I60" s="50"/>
      <c r="J60" s="50"/>
      <c r="K60" s="50"/>
    </row>
    <row r="61" spans="1:11" x14ac:dyDescent="0.2">
      <c r="A61" s="59" t="s">
        <v>434</v>
      </c>
      <c r="B61" s="58">
        <f>$B$10/12</f>
        <v>1345.8333333333333</v>
      </c>
      <c r="C61" s="58">
        <f>$B$10/12</f>
        <v>1345.8333333333333</v>
      </c>
      <c r="D61" s="58">
        <f>$B$10/12</f>
        <v>1345.8333333333333</v>
      </c>
      <c r="E61" s="58">
        <f>$B$10/12</f>
        <v>1345.8333333333333</v>
      </c>
      <c r="F61" s="77"/>
      <c r="G61" s="50"/>
      <c r="H61" s="50"/>
      <c r="I61" s="50"/>
      <c r="J61" s="50"/>
      <c r="K61" s="50"/>
    </row>
    <row r="62" spans="1:11" x14ac:dyDescent="0.2">
      <c r="A62" s="49" t="s">
        <v>433</v>
      </c>
      <c r="B62" s="50">
        <f>SUM(B59:B61)</f>
        <v>1532.0333333333333</v>
      </c>
      <c r="C62" s="50">
        <f>SUM(C59:C61)</f>
        <v>3165.5416666666665</v>
      </c>
      <c r="D62" s="50">
        <f>SUM(D59:D61)</f>
        <v>5485.1666666666661</v>
      </c>
      <c r="E62" s="50">
        <f>SUM(E59:E61)</f>
        <v>5485.1666666666661</v>
      </c>
      <c r="F62" s="76"/>
      <c r="G62" s="50"/>
      <c r="H62" s="50"/>
      <c r="I62" s="50"/>
      <c r="J62" s="50"/>
      <c r="K62" s="50"/>
    </row>
    <row r="63" spans="1:11" x14ac:dyDescent="0.2">
      <c r="A63" s="59" t="s">
        <v>432</v>
      </c>
      <c r="B63" s="58">
        <f>B62*$B$28</f>
        <v>383.00833333333333</v>
      </c>
      <c r="C63" s="58">
        <f>C62*$B$28</f>
        <v>791.38541666666663</v>
      </c>
      <c r="D63" s="58">
        <f>D62*$B$28</f>
        <v>1371.2916666666665</v>
      </c>
      <c r="E63" s="58">
        <f>E62*$B$28</f>
        <v>1371.2916666666665</v>
      </c>
      <c r="F63" s="75"/>
      <c r="G63" s="50"/>
      <c r="H63" s="50"/>
      <c r="I63" s="50"/>
      <c r="J63" s="50"/>
      <c r="K63" s="50"/>
    </row>
    <row r="64" spans="1:11" x14ac:dyDescent="0.2">
      <c r="A64" s="49" t="s">
        <v>431</v>
      </c>
      <c r="B64" s="63">
        <f>SUM(B62:B63)</f>
        <v>1915.0416666666665</v>
      </c>
      <c r="C64" s="63">
        <f>SUM(C62:C63)</f>
        <v>3956.927083333333</v>
      </c>
      <c r="D64" s="63">
        <f>SUM(D62:D63)</f>
        <v>6856.4583333333321</v>
      </c>
      <c r="E64" s="63">
        <f>SUM(E62:E63)</f>
        <v>6856.4583333333321</v>
      </c>
      <c r="F64" s="75"/>
      <c r="G64" s="50"/>
      <c r="H64" s="50"/>
      <c r="I64" s="50"/>
      <c r="J64" s="50"/>
      <c r="K64" s="50"/>
    </row>
    <row r="65" spans="1:11" x14ac:dyDescent="0.2">
      <c r="A65" s="49" t="s">
        <v>430</v>
      </c>
      <c r="B65" s="50">
        <f>J13</f>
        <v>7500</v>
      </c>
      <c r="C65" s="50"/>
      <c r="D65" s="50"/>
      <c r="E65" s="50"/>
      <c r="F65" s="75"/>
      <c r="G65" s="50"/>
      <c r="H65" s="50"/>
      <c r="I65" s="50"/>
      <c r="J65" s="50"/>
      <c r="K65" s="50"/>
    </row>
    <row r="66" spans="1:11" x14ac:dyDescent="0.2">
      <c r="A66" s="55" t="s">
        <v>429</v>
      </c>
      <c r="B66" s="57">
        <f>B65</f>
        <v>7500</v>
      </c>
      <c r="C66" s="57">
        <f>B64</f>
        <v>1915.0416666666665</v>
      </c>
      <c r="D66" s="57">
        <f>C64</f>
        <v>3956.927083333333</v>
      </c>
      <c r="E66" s="57">
        <f>D64</f>
        <v>6856.4583333333321</v>
      </c>
      <c r="F66" s="74">
        <f>E64</f>
        <v>6856.4583333333321</v>
      </c>
      <c r="G66" s="50"/>
      <c r="H66" s="50"/>
      <c r="I66" s="50"/>
      <c r="J66" s="50"/>
      <c r="K66" s="50"/>
    </row>
    <row r="67" spans="1:11" x14ac:dyDescent="0.2">
      <c r="A67" s="73"/>
      <c r="B67" s="72"/>
      <c r="C67" s="72"/>
      <c r="D67" s="72"/>
      <c r="E67" s="72"/>
      <c r="F67" s="72"/>
      <c r="G67" s="50"/>
      <c r="H67" s="50"/>
      <c r="I67" s="50"/>
      <c r="J67" s="50"/>
      <c r="K67" s="50"/>
    </row>
    <row r="68" spans="1:11" x14ac:dyDescent="0.2"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2">
      <c r="A69" s="65" t="s">
        <v>428</v>
      </c>
      <c r="B69" s="64" t="s">
        <v>405</v>
      </c>
      <c r="C69" s="64" t="s">
        <v>404</v>
      </c>
      <c r="D69" s="64" t="s">
        <v>403</v>
      </c>
      <c r="E69" s="64" t="s">
        <v>402</v>
      </c>
      <c r="F69" s="71" t="s">
        <v>218</v>
      </c>
      <c r="H69" s="49" t="s">
        <v>427</v>
      </c>
      <c r="J69" s="70" t="s">
        <v>426</v>
      </c>
    </row>
    <row r="70" spans="1:11" x14ac:dyDescent="0.2">
      <c r="A70" s="49" t="s">
        <v>425</v>
      </c>
      <c r="B70" s="50">
        <f>B48</f>
        <v>1633.3333333333333</v>
      </c>
      <c r="C70" s="50">
        <f>C48</f>
        <v>1633.3333333333333</v>
      </c>
      <c r="D70" s="50">
        <f>D48</f>
        <v>1633.3333333333333</v>
      </c>
      <c r="E70" s="50">
        <f>E48</f>
        <v>1633.3333333333333</v>
      </c>
      <c r="F70" s="69"/>
      <c r="H70" s="49" t="s">
        <v>424</v>
      </c>
      <c r="J70" s="66">
        <v>37356</v>
      </c>
    </row>
    <row r="71" spans="1:11" x14ac:dyDescent="0.2">
      <c r="A71" s="59" t="s">
        <v>423</v>
      </c>
      <c r="B71" s="58">
        <f>B63</f>
        <v>383.00833333333333</v>
      </c>
      <c r="C71" s="58">
        <f>C63</f>
        <v>791.38541666666663</v>
      </c>
      <c r="D71" s="58">
        <f>D63</f>
        <v>1371.2916666666665</v>
      </c>
      <c r="E71" s="58">
        <f>E63</f>
        <v>1371.2916666666665</v>
      </c>
      <c r="F71" s="68"/>
      <c r="H71" s="49" t="s">
        <v>422</v>
      </c>
      <c r="J71" s="66">
        <v>37417</v>
      </c>
    </row>
    <row r="72" spans="1:11" x14ac:dyDescent="0.2">
      <c r="A72" s="49" t="s">
        <v>421</v>
      </c>
      <c r="B72" s="50">
        <f>B70-B71</f>
        <v>1250.3249999999998</v>
      </c>
      <c r="C72" s="50">
        <f>C70-C71</f>
        <v>841.94791666666663</v>
      </c>
      <c r="D72" s="50">
        <f>D70-D71</f>
        <v>262.04166666666674</v>
      </c>
      <c r="E72" s="50">
        <f>E70-E71</f>
        <v>262.04166666666674</v>
      </c>
      <c r="F72" s="69"/>
      <c r="H72" s="49" t="s">
        <v>420</v>
      </c>
      <c r="J72" s="66">
        <v>37478</v>
      </c>
    </row>
    <row r="73" spans="1:11" x14ac:dyDescent="0.2">
      <c r="A73" s="59" t="s">
        <v>419</v>
      </c>
      <c r="B73" s="58">
        <f>J15</f>
        <v>890</v>
      </c>
      <c r="C73" s="59"/>
      <c r="D73" s="59"/>
      <c r="E73" s="59"/>
      <c r="F73" s="68"/>
      <c r="H73" s="49" t="s">
        <v>418</v>
      </c>
      <c r="J73" s="66">
        <v>37539</v>
      </c>
    </row>
    <row r="74" spans="1:11" x14ac:dyDescent="0.2">
      <c r="A74" s="49" t="s">
        <v>417</v>
      </c>
      <c r="C74" s="63">
        <f>B73</f>
        <v>890</v>
      </c>
      <c r="D74" s="65"/>
      <c r="E74" s="63">
        <f>B72+C72</f>
        <v>2092.2729166666663</v>
      </c>
      <c r="F74" s="67">
        <f>D72+E72</f>
        <v>524.08333333333348</v>
      </c>
      <c r="H74" s="49" t="s">
        <v>416</v>
      </c>
      <c r="J74" s="66">
        <v>37600</v>
      </c>
    </row>
    <row r="75" spans="1:11" x14ac:dyDescent="0.2">
      <c r="H75" s="49" t="s">
        <v>415</v>
      </c>
      <c r="J75" s="66">
        <v>37297</v>
      </c>
    </row>
    <row r="76" spans="1:11" x14ac:dyDescent="0.2">
      <c r="A76" s="65" t="s">
        <v>414</v>
      </c>
      <c r="B76" s="64" t="s">
        <v>405</v>
      </c>
      <c r="C76" s="64" t="s">
        <v>404</v>
      </c>
      <c r="D76" s="64" t="s">
        <v>403</v>
      </c>
      <c r="E76" s="64" t="s">
        <v>402</v>
      </c>
    </row>
    <row r="77" spans="1:11" x14ac:dyDescent="0.2">
      <c r="A77" s="49" t="s">
        <v>413</v>
      </c>
      <c r="B77" s="50">
        <f>($D$6/12)*$B$18</f>
        <v>240</v>
      </c>
      <c r="C77" s="50">
        <f>($D$6/12)*$B$18</f>
        <v>240</v>
      </c>
    </row>
    <row r="78" spans="1:11" x14ac:dyDescent="0.2">
      <c r="A78" s="49" t="s">
        <v>412</v>
      </c>
      <c r="B78" s="50">
        <f>($D$7/12)*$B$19</f>
        <v>40</v>
      </c>
      <c r="C78" s="50">
        <f>($D$7/12)*$B$19</f>
        <v>40</v>
      </c>
      <c r="D78" s="50"/>
    </row>
    <row r="79" spans="1:11" x14ac:dyDescent="0.2">
      <c r="A79" s="49" t="s">
        <v>411</v>
      </c>
      <c r="C79" s="50">
        <f>$J$17*($B$6/($B$6+$B$7))*$B$18/$C$6</f>
        <v>250</v>
      </c>
    </row>
    <row r="80" spans="1:11" x14ac:dyDescent="0.2">
      <c r="A80" s="49" t="s">
        <v>410</v>
      </c>
      <c r="C80" s="50">
        <f>$J$17*($B$7/($B$6+$B$7))*$B$19/$C$7</f>
        <v>41.666666666666664</v>
      </c>
    </row>
    <row r="81" spans="1:6" x14ac:dyDescent="0.2">
      <c r="A81" s="49" t="s">
        <v>409</v>
      </c>
      <c r="B81" s="50">
        <f>($D$6/12)*($C$6-$B$18)</f>
        <v>720</v>
      </c>
      <c r="C81" s="50">
        <f>($D$6/12)*($C$6-$B$18)</f>
        <v>720</v>
      </c>
      <c r="D81" s="50">
        <f>($D$6/12)*($C$6-$B$18)</f>
        <v>720</v>
      </c>
      <c r="E81" s="50">
        <f>($D$6/12)*($C$6-$B$18)</f>
        <v>720</v>
      </c>
    </row>
    <row r="82" spans="1:6" x14ac:dyDescent="0.2">
      <c r="A82" s="59" t="s">
        <v>408</v>
      </c>
      <c r="B82" s="58">
        <f>($D$7/12)*($C$7-$B$19)</f>
        <v>200</v>
      </c>
      <c r="C82" s="58">
        <f>($D$7/12)*($C$7-$B$19)</f>
        <v>200</v>
      </c>
      <c r="D82" s="58">
        <f>($D$7/12)*($C$7-$B$19)</f>
        <v>200</v>
      </c>
      <c r="E82" s="58">
        <f>($D$7/12)*($C$7-$B$19)</f>
        <v>200</v>
      </c>
    </row>
    <row r="83" spans="1:6" x14ac:dyDescent="0.2">
      <c r="A83" s="49" t="s">
        <v>407</v>
      </c>
      <c r="B83" s="63">
        <f>SUM(B77:B82)</f>
        <v>1200</v>
      </c>
      <c r="C83" s="63">
        <f>SUM(C77:C82)</f>
        <v>1491.6666666666665</v>
      </c>
      <c r="D83" s="63">
        <f>SUM(D77:D82)</f>
        <v>920</v>
      </c>
      <c r="E83" s="63">
        <f>SUM(E77:E82)</f>
        <v>920</v>
      </c>
    </row>
    <row r="85" spans="1:6" x14ac:dyDescent="0.2">
      <c r="B85" s="49">
        <v>20833</v>
      </c>
      <c r="C85" s="49">
        <v>250</v>
      </c>
      <c r="D85" s="49">
        <f>B85/C85</f>
        <v>83.331999999999994</v>
      </c>
    </row>
    <row r="87" spans="1:6" x14ac:dyDescent="0.2">
      <c r="A87" s="62" t="s">
        <v>406</v>
      </c>
    </row>
    <row r="88" spans="1:6" x14ac:dyDescent="0.2">
      <c r="A88" s="59"/>
      <c r="B88" s="61" t="s">
        <v>405</v>
      </c>
      <c r="C88" s="61" t="s">
        <v>404</v>
      </c>
      <c r="D88" s="61" t="s">
        <v>403</v>
      </c>
      <c r="E88" s="61" t="s">
        <v>402</v>
      </c>
      <c r="F88" s="60" t="s">
        <v>218</v>
      </c>
    </row>
    <row r="89" spans="1:6" x14ac:dyDescent="0.2">
      <c r="A89" s="56" t="s">
        <v>295</v>
      </c>
    </row>
    <row r="90" spans="1:6" x14ac:dyDescent="0.2">
      <c r="A90" s="49" t="s">
        <v>401</v>
      </c>
      <c r="B90" s="50">
        <f>G13</f>
        <v>11480</v>
      </c>
    </row>
    <row r="91" spans="1:6" x14ac:dyDescent="0.2">
      <c r="A91" s="59" t="s">
        <v>235</v>
      </c>
      <c r="B91" s="59"/>
      <c r="C91" s="58">
        <f>C54</f>
        <v>8166.6666666666661</v>
      </c>
      <c r="D91" s="58">
        <f>D54</f>
        <v>8166.6666666666661</v>
      </c>
      <c r="E91" s="58">
        <f>E54</f>
        <v>8166.6666666666661</v>
      </c>
      <c r="F91" s="58">
        <f>F54</f>
        <v>8166.6666666666661</v>
      </c>
    </row>
    <row r="92" spans="1:6" x14ac:dyDescent="0.2">
      <c r="A92" s="55" t="s">
        <v>400</v>
      </c>
      <c r="B92" s="57">
        <f>SUM(B90:B91)</f>
        <v>11480</v>
      </c>
      <c r="C92" s="57">
        <f>SUM(C90:C91)</f>
        <v>8166.6666666666661</v>
      </c>
      <c r="D92" s="57">
        <f>SUM(D90:D91)</f>
        <v>8166.6666666666661</v>
      </c>
      <c r="E92" s="57">
        <f>SUM(E90:E91)</f>
        <v>8166.6666666666661</v>
      </c>
      <c r="F92" s="57">
        <f>SUM(F90:F91)</f>
        <v>8166.6666666666661</v>
      </c>
    </row>
    <row r="93" spans="1:6" x14ac:dyDescent="0.2">
      <c r="A93" s="56" t="s">
        <v>399</v>
      </c>
    </row>
    <row r="94" spans="1:6" x14ac:dyDescent="0.2">
      <c r="A94" s="49" t="s">
        <v>398</v>
      </c>
      <c r="B94" s="50">
        <f>B66</f>
        <v>7500</v>
      </c>
      <c r="C94" s="50">
        <f>C66</f>
        <v>1915.0416666666665</v>
      </c>
      <c r="D94" s="50">
        <f>D66</f>
        <v>3956.927083333333</v>
      </c>
      <c r="E94" s="50">
        <f>E66</f>
        <v>6856.4583333333321</v>
      </c>
      <c r="F94" s="50">
        <f>F66</f>
        <v>6856.4583333333321</v>
      </c>
    </row>
    <row r="95" spans="1:6" x14ac:dyDescent="0.2">
      <c r="A95" s="49" t="s">
        <v>397</v>
      </c>
      <c r="B95" s="50">
        <f>B83</f>
        <v>1200</v>
      </c>
      <c r="C95" s="50">
        <f>C83</f>
        <v>1491.6666666666665</v>
      </c>
      <c r="D95" s="50">
        <f>D83</f>
        <v>920</v>
      </c>
      <c r="E95" s="50">
        <f>E83</f>
        <v>920</v>
      </c>
    </row>
    <row r="96" spans="1:6" x14ac:dyDescent="0.2">
      <c r="A96" s="55" t="s">
        <v>396</v>
      </c>
      <c r="B96" s="57">
        <f>SUM(B94:B95)</f>
        <v>8700</v>
      </c>
      <c r="C96" s="57">
        <f>SUM(C94:C95)</f>
        <v>3406.708333333333</v>
      </c>
      <c r="D96" s="57">
        <f>SUM(D94:D95)</f>
        <v>4876.927083333333</v>
      </c>
      <c r="E96" s="57">
        <f>SUM(E94:E95)</f>
        <v>7776.4583333333321</v>
      </c>
      <c r="F96" s="57">
        <f>SUM(F94:F95)</f>
        <v>6856.4583333333321</v>
      </c>
    </row>
    <row r="97" spans="1:6" x14ac:dyDescent="0.2">
      <c r="A97" s="49" t="s">
        <v>395</v>
      </c>
      <c r="C97" s="50">
        <f>C74</f>
        <v>890</v>
      </c>
      <c r="D97" s="50"/>
      <c r="E97" s="50">
        <f>E74</f>
        <v>2092.2729166666663</v>
      </c>
      <c r="F97" s="50">
        <f>F74</f>
        <v>524.08333333333348</v>
      </c>
    </row>
    <row r="98" spans="1:6" ht="15" x14ac:dyDescent="0.25">
      <c r="A98" s="53" t="s">
        <v>394</v>
      </c>
      <c r="B98" s="52">
        <f>B92-B96-B97</f>
        <v>2780</v>
      </c>
      <c r="C98" s="52">
        <f>C92-C96-C97</f>
        <v>3869.958333333333</v>
      </c>
      <c r="D98" s="52">
        <f>D92-D96-D97</f>
        <v>3289.739583333333</v>
      </c>
      <c r="E98" s="52">
        <f>E92-E96-E97</f>
        <v>-1702.0645833333324</v>
      </c>
      <c r="F98" s="52">
        <f>F92-F96-F97</f>
        <v>786.12500000000045</v>
      </c>
    </row>
    <row r="99" spans="1:6" x14ac:dyDescent="0.2">
      <c r="A99" s="56" t="s">
        <v>302</v>
      </c>
    </row>
    <row r="100" spans="1:6" x14ac:dyDescent="0.2">
      <c r="A100" s="49" t="s">
        <v>303</v>
      </c>
      <c r="D100" s="50">
        <f>B27</f>
        <v>200</v>
      </c>
    </row>
    <row r="101" spans="1:6" x14ac:dyDescent="0.2">
      <c r="A101" s="49" t="s">
        <v>393</v>
      </c>
      <c r="C101" s="50">
        <f>$J$14*$B$23</f>
        <v>185</v>
      </c>
      <c r="D101" s="50"/>
      <c r="E101" s="50">
        <f>$J$14*$B$24</f>
        <v>185</v>
      </c>
      <c r="F101" s="50">
        <f>$J$14*$B$25</f>
        <v>370</v>
      </c>
    </row>
    <row r="102" spans="1:6" x14ac:dyDescent="0.2">
      <c r="A102" s="49" t="s">
        <v>392</v>
      </c>
      <c r="D102" s="50">
        <f>B26</f>
        <v>460</v>
      </c>
    </row>
    <row r="103" spans="1:6" x14ac:dyDescent="0.2">
      <c r="A103" s="55" t="s">
        <v>305</v>
      </c>
      <c r="B103" s="54"/>
      <c r="C103" s="54">
        <f>SUM(C100:C102)</f>
        <v>185</v>
      </c>
      <c r="D103" s="54">
        <f>SUM(D100:D102)</f>
        <v>660</v>
      </c>
      <c r="E103" s="54">
        <f>SUM(E100:E102)</f>
        <v>185</v>
      </c>
      <c r="F103" s="54">
        <f>SUM(F100:F102)</f>
        <v>370</v>
      </c>
    </row>
    <row r="104" spans="1:6" ht="15" x14ac:dyDescent="0.25">
      <c r="A104" s="53" t="s">
        <v>391</v>
      </c>
      <c r="B104" s="53"/>
      <c r="C104" s="53">
        <f>-C103</f>
        <v>-185</v>
      </c>
      <c r="D104" s="53">
        <f>-D103</f>
        <v>-660</v>
      </c>
      <c r="E104" s="53">
        <f>-E103</f>
        <v>-185</v>
      </c>
      <c r="F104" s="53">
        <f>-F103</f>
        <v>-370</v>
      </c>
    </row>
    <row r="106" spans="1:6" ht="15" x14ac:dyDescent="0.25">
      <c r="A106" s="53" t="s">
        <v>245</v>
      </c>
      <c r="B106" s="52">
        <f>B98+B104</f>
        <v>2780</v>
      </c>
      <c r="C106" s="52">
        <f>C98+C104</f>
        <v>3684.958333333333</v>
      </c>
      <c r="D106" s="52">
        <f>D98+D104</f>
        <v>2629.739583333333</v>
      </c>
      <c r="E106" s="52">
        <f>E98+E104</f>
        <v>-1887.0645833333324</v>
      </c>
      <c r="F106" s="52">
        <f>F98+F104</f>
        <v>416.12500000000045</v>
      </c>
    </row>
    <row r="108" spans="1:6" x14ac:dyDescent="0.2">
      <c r="A108" s="51" t="s">
        <v>390</v>
      </c>
      <c r="B108" s="50">
        <f>G14-H14-J12</f>
        <v>-5150</v>
      </c>
      <c r="C108" s="50">
        <f>B109</f>
        <v>-2370</v>
      </c>
      <c r="D108" s="50">
        <f>C109</f>
        <v>1314.958333333333</v>
      </c>
      <c r="E108" s="50">
        <f>D109</f>
        <v>3944.6979166666661</v>
      </c>
      <c r="F108" s="50">
        <f>E109</f>
        <v>2057.6333333333337</v>
      </c>
    </row>
    <row r="109" spans="1:6" x14ac:dyDescent="0.2">
      <c r="A109" s="51" t="s">
        <v>389</v>
      </c>
      <c r="B109" s="50">
        <f>B108+B106</f>
        <v>-2370</v>
      </c>
      <c r="C109" s="50">
        <f>C108+C106</f>
        <v>1314.958333333333</v>
      </c>
      <c r="D109" s="50">
        <f>D108+D106</f>
        <v>3944.6979166666661</v>
      </c>
      <c r="E109" s="50">
        <f>E108+E106</f>
        <v>2057.6333333333337</v>
      </c>
      <c r="F109" s="50"/>
    </row>
    <row r="110" spans="1:6" x14ac:dyDescent="0.2">
      <c r="A110" s="51" t="s">
        <v>388</v>
      </c>
      <c r="B110" s="50">
        <f>$K$12+B109</f>
        <v>3630</v>
      </c>
      <c r="C110" s="50">
        <f>$K$12+C109</f>
        <v>7314.958333333333</v>
      </c>
      <c r="D110" s="50">
        <f>$K$12+D109</f>
        <v>9944.6979166666661</v>
      </c>
      <c r="E110" s="50">
        <f>$K$12+E109</f>
        <v>8057.6333333333332</v>
      </c>
      <c r="F110" s="50"/>
    </row>
  </sheetData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zoomScale="120" zoomScaleNormal="120" workbookViewId="0">
      <selection activeCell="C1" sqref="C1"/>
    </sheetView>
  </sheetViews>
  <sheetFormatPr baseColWidth="10" defaultRowHeight="12.75" x14ac:dyDescent="0.2"/>
  <cols>
    <col min="1" max="1" width="20.7109375" style="49" customWidth="1"/>
    <col min="2" max="2" width="9.7109375" style="49" customWidth="1"/>
    <col min="3" max="3" width="9.5703125" style="49" customWidth="1"/>
    <col min="4" max="4" width="9.42578125" style="49" customWidth="1"/>
    <col min="5" max="5" width="10.7109375" style="49" customWidth="1"/>
    <col min="6" max="6" width="10.5703125" style="49" customWidth="1"/>
    <col min="7" max="7" width="10.7109375" style="49" customWidth="1"/>
    <col min="8" max="8" width="10.140625" style="49" customWidth="1"/>
    <col min="9" max="9" width="14.7109375" style="49" customWidth="1"/>
    <col min="10" max="10" width="9.140625" style="49" customWidth="1"/>
    <col min="11" max="11" width="12.140625" style="49" customWidth="1"/>
    <col min="12" max="256" width="9.140625" style="49" customWidth="1"/>
    <col min="257" max="257" width="20.7109375" style="49" customWidth="1"/>
    <col min="258" max="263" width="10.7109375" style="49" customWidth="1"/>
    <col min="264" max="512" width="9.140625" style="49" customWidth="1"/>
    <col min="513" max="513" width="20.7109375" style="49" customWidth="1"/>
    <col min="514" max="519" width="10.7109375" style="49" customWidth="1"/>
    <col min="520" max="768" width="9.140625" style="49" customWidth="1"/>
    <col min="769" max="769" width="20.7109375" style="49" customWidth="1"/>
    <col min="770" max="775" width="10.7109375" style="49" customWidth="1"/>
    <col min="776" max="1024" width="9.140625" style="49" customWidth="1"/>
    <col min="1025" max="1025" width="20.7109375" style="49" customWidth="1"/>
    <col min="1026" max="1031" width="10.7109375" style="49" customWidth="1"/>
    <col min="1032" max="1280" width="9.140625" style="49" customWidth="1"/>
    <col min="1281" max="1281" width="20.7109375" style="49" customWidth="1"/>
    <col min="1282" max="1287" width="10.7109375" style="49" customWidth="1"/>
    <col min="1288" max="1536" width="9.140625" style="49" customWidth="1"/>
    <col min="1537" max="1537" width="20.7109375" style="49" customWidth="1"/>
    <col min="1538" max="1543" width="10.7109375" style="49" customWidth="1"/>
    <col min="1544" max="1792" width="9.140625" style="49" customWidth="1"/>
    <col min="1793" max="1793" width="20.7109375" style="49" customWidth="1"/>
    <col min="1794" max="1799" width="10.7109375" style="49" customWidth="1"/>
    <col min="1800" max="2048" width="9.140625" style="49" customWidth="1"/>
    <col min="2049" max="2049" width="20.7109375" style="49" customWidth="1"/>
    <col min="2050" max="2055" width="10.7109375" style="49" customWidth="1"/>
    <col min="2056" max="2304" width="9.140625" style="49" customWidth="1"/>
    <col min="2305" max="2305" width="20.7109375" style="49" customWidth="1"/>
    <col min="2306" max="2311" width="10.7109375" style="49" customWidth="1"/>
    <col min="2312" max="2560" width="9.140625" style="49" customWidth="1"/>
    <col min="2561" max="2561" width="20.7109375" style="49" customWidth="1"/>
    <col min="2562" max="2567" width="10.7109375" style="49" customWidth="1"/>
    <col min="2568" max="2816" width="9.140625" style="49" customWidth="1"/>
    <col min="2817" max="2817" width="20.7109375" style="49" customWidth="1"/>
    <col min="2818" max="2823" width="10.7109375" style="49" customWidth="1"/>
    <col min="2824" max="3072" width="9.140625" style="49" customWidth="1"/>
    <col min="3073" max="3073" width="20.7109375" style="49" customWidth="1"/>
    <col min="3074" max="3079" width="10.7109375" style="49" customWidth="1"/>
    <col min="3080" max="3328" width="9.140625" style="49" customWidth="1"/>
    <col min="3329" max="3329" width="20.7109375" style="49" customWidth="1"/>
    <col min="3330" max="3335" width="10.7109375" style="49" customWidth="1"/>
    <col min="3336" max="3584" width="9.140625" style="49" customWidth="1"/>
    <col min="3585" max="3585" width="20.7109375" style="49" customWidth="1"/>
    <col min="3586" max="3591" width="10.7109375" style="49" customWidth="1"/>
    <col min="3592" max="3840" width="9.140625" style="49" customWidth="1"/>
    <col min="3841" max="3841" width="20.7109375" style="49" customWidth="1"/>
    <col min="3842" max="3847" width="10.7109375" style="49" customWidth="1"/>
    <col min="3848" max="4096" width="9.140625" style="49" customWidth="1"/>
    <col min="4097" max="4097" width="20.7109375" style="49" customWidth="1"/>
    <col min="4098" max="4103" width="10.7109375" style="49" customWidth="1"/>
    <col min="4104" max="4352" width="9.140625" style="49" customWidth="1"/>
    <col min="4353" max="4353" width="20.7109375" style="49" customWidth="1"/>
    <col min="4354" max="4359" width="10.7109375" style="49" customWidth="1"/>
    <col min="4360" max="4608" width="9.140625" style="49" customWidth="1"/>
    <col min="4609" max="4609" width="20.7109375" style="49" customWidth="1"/>
    <col min="4610" max="4615" width="10.7109375" style="49" customWidth="1"/>
    <col min="4616" max="4864" width="9.140625" style="49" customWidth="1"/>
    <col min="4865" max="4865" width="20.7109375" style="49" customWidth="1"/>
    <col min="4866" max="4871" width="10.7109375" style="49" customWidth="1"/>
    <col min="4872" max="5120" width="9.140625" style="49" customWidth="1"/>
    <col min="5121" max="5121" width="20.7109375" style="49" customWidth="1"/>
    <col min="5122" max="5127" width="10.7109375" style="49" customWidth="1"/>
    <col min="5128" max="5376" width="9.140625" style="49" customWidth="1"/>
    <col min="5377" max="5377" width="20.7109375" style="49" customWidth="1"/>
    <col min="5378" max="5383" width="10.7109375" style="49" customWidth="1"/>
    <col min="5384" max="5632" width="9.140625" style="49" customWidth="1"/>
    <col min="5633" max="5633" width="20.7109375" style="49" customWidth="1"/>
    <col min="5634" max="5639" width="10.7109375" style="49" customWidth="1"/>
    <col min="5640" max="5888" width="9.140625" style="49" customWidth="1"/>
    <col min="5889" max="5889" width="20.7109375" style="49" customWidth="1"/>
    <col min="5890" max="5895" width="10.7109375" style="49" customWidth="1"/>
    <col min="5896" max="6144" width="9.140625" style="49" customWidth="1"/>
    <col min="6145" max="6145" width="20.7109375" style="49" customWidth="1"/>
    <col min="6146" max="6151" width="10.7109375" style="49" customWidth="1"/>
    <col min="6152" max="6400" width="9.140625" style="49" customWidth="1"/>
    <col min="6401" max="6401" width="20.7109375" style="49" customWidth="1"/>
    <col min="6402" max="6407" width="10.7109375" style="49" customWidth="1"/>
    <col min="6408" max="6656" width="9.140625" style="49" customWidth="1"/>
    <col min="6657" max="6657" width="20.7109375" style="49" customWidth="1"/>
    <col min="6658" max="6663" width="10.7109375" style="49" customWidth="1"/>
    <col min="6664" max="6912" width="9.140625" style="49" customWidth="1"/>
    <col min="6913" max="6913" width="20.7109375" style="49" customWidth="1"/>
    <col min="6914" max="6919" width="10.7109375" style="49" customWidth="1"/>
    <col min="6920" max="7168" width="9.140625" style="49" customWidth="1"/>
    <col min="7169" max="7169" width="20.7109375" style="49" customWidth="1"/>
    <col min="7170" max="7175" width="10.7109375" style="49" customWidth="1"/>
    <col min="7176" max="7424" width="9.140625" style="49" customWidth="1"/>
    <col min="7425" max="7425" width="20.7109375" style="49" customWidth="1"/>
    <col min="7426" max="7431" width="10.7109375" style="49" customWidth="1"/>
    <col min="7432" max="7680" width="9.140625" style="49" customWidth="1"/>
    <col min="7681" max="7681" width="20.7109375" style="49" customWidth="1"/>
    <col min="7682" max="7687" width="10.7109375" style="49" customWidth="1"/>
    <col min="7688" max="7936" width="9.140625" style="49" customWidth="1"/>
    <col min="7937" max="7937" width="20.7109375" style="49" customWidth="1"/>
    <col min="7938" max="7943" width="10.7109375" style="49" customWidth="1"/>
    <col min="7944" max="8192" width="9.140625" style="49" customWidth="1"/>
    <col min="8193" max="8193" width="20.7109375" style="49" customWidth="1"/>
    <col min="8194" max="8199" width="10.7109375" style="49" customWidth="1"/>
    <col min="8200" max="8448" width="9.140625" style="49" customWidth="1"/>
    <col min="8449" max="8449" width="20.7109375" style="49" customWidth="1"/>
    <col min="8450" max="8455" width="10.7109375" style="49" customWidth="1"/>
    <col min="8456" max="8704" width="9.140625" style="49" customWidth="1"/>
    <col min="8705" max="8705" width="20.7109375" style="49" customWidth="1"/>
    <col min="8706" max="8711" width="10.7109375" style="49" customWidth="1"/>
    <col min="8712" max="8960" width="9.140625" style="49" customWidth="1"/>
    <col min="8961" max="8961" width="20.7109375" style="49" customWidth="1"/>
    <col min="8962" max="8967" width="10.7109375" style="49" customWidth="1"/>
    <col min="8968" max="9216" width="9.140625" style="49" customWidth="1"/>
    <col min="9217" max="9217" width="20.7109375" style="49" customWidth="1"/>
    <col min="9218" max="9223" width="10.7109375" style="49" customWidth="1"/>
    <col min="9224" max="9472" width="9.140625" style="49" customWidth="1"/>
    <col min="9473" max="9473" width="20.7109375" style="49" customWidth="1"/>
    <col min="9474" max="9479" width="10.7109375" style="49" customWidth="1"/>
    <col min="9480" max="9728" width="9.140625" style="49" customWidth="1"/>
    <col min="9729" max="9729" width="20.7109375" style="49" customWidth="1"/>
    <col min="9730" max="9735" width="10.7109375" style="49" customWidth="1"/>
    <col min="9736" max="9984" width="9.140625" style="49" customWidth="1"/>
    <col min="9985" max="9985" width="20.7109375" style="49" customWidth="1"/>
    <col min="9986" max="9991" width="10.7109375" style="49" customWidth="1"/>
    <col min="9992" max="10240" width="9.140625" style="49" customWidth="1"/>
    <col min="10241" max="10241" width="20.7109375" style="49" customWidth="1"/>
    <col min="10242" max="10247" width="10.7109375" style="49" customWidth="1"/>
    <col min="10248" max="10496" width="9.140625" style="49" customWidth="1"/>
    <col min="10497" max="10497" width="20.7109375" style="49" customWidth="1"/>
    <col min="10498" max="10503" width="10.7109375" style="49" customWidth="1"/>
    <col min="10504" max="10752" width="9.140625" style="49" customWidth="1"/>
    <col min="10753" max="10753" width="20.7109375" style="49" customWidth="1"/>
    <col min="10754" max="10759" width="10.7109375" style="49" customWidth="1"/>
    <col min="10760" max="11008" width="9.140625" style="49" customWidth="1"/>
    <col min="11009" max="11009" width="20.7109375" style="49" customWidth="1"/>
    <col min="11010" max="11015" width="10.7109375" style="49" customWidth="1"/>
    <col min="11016" max="11264" width="9.140625" style="49" customWidth="1"/>
    <col min="11265" max="11265" width="20.7109375" style="49" customWidth="1"/>
    <col min="11266" max="11271" width="10.7109375" style="49" customWidth="1"/>
    <col min="11272" max="11520" width="9.140625" style="49" customWidth="1"/>
    <col min="11521" max="11521" width="20.7109375" style="49" customWidth="1"/>
    <col min="11522" max="11527" width="10.7109375" style="49" customWidth="1"/>
    <col min="11528" max="11776" width="9.140625" style="49" customWidth="1"/>
    <col min="11777" max="11777" width="20.7109375" style="49" customWidth="1"/>
    <col min="11778" max="11783" width="10.7109375" style="49" customWidth="1"/>
    <col min="11784" max="12032" width="9.140625" style="49" customWidth="1"/>
    <col min="12033" max="12033" width="20.7109375" style="49" customWidth="1"/>
    <col min="12034" max="12039" width="10.7109375" style="49" customWidth="1"/>
    <col min="12040" max="12288" width="9.140625" style="49" customWidth="1"/>
    <col min="12289" max="12289" width="20.7109375" style="49" customWidth="1"/>
    <col min="12290" max="12295" width="10.7109375" style="49" customWidth="1"/>
    <col min="12296" max="12544" width="9.140625" style="49" customWidth="1"/>
    <col min="12545" max="12545" width="20.7109375" style="49" customWidth="1"/>
    <col min="12546" max="12551" width="10.7109375" style="49" customWidth="1"/>
    <col min="12552" max="12800" width="9.140625" style="49" customWidth="1"/>
    <col min="12801" max="12801" width="20.7109375" style="49" customWidth="1"/>
    <col min="12802" max="12807" width="10.7109375" style="49" customWidth="1"/>
    <col min="12808" max="13056" width="9.140625" style="49" customWidth="1"/>
    <col min="13057" max="13057" width="20.7109375" style="49" customWidth="1"/>
    <col min="13058" max="13063" width="10.7109375" style="49" customWidth="1"/>
    <col min="13064" max="13312" width="9.140625" style="49" customWidth="1"/>
    <col min="13313" max="13313" width="20.7109375" style="49" customWidth="1"/>
    <col min="13314" max="13319" width="10.7109375" style="49" customWidth="1"/>
    <col min="13320" max="13568" width="9.140625" style="49" customWidth="1"/>
    <col min="13569" max="13569" width="20.7109375" style="49" customWidth="1"/>
    <col min="13570" max="13575" width="10.7109375" style="49" customWidth="1"/>
    <col min="13576" max="13824" width="9.140625" style="49" customWidth="1"/>
    <col min="13825" max="13825" width="20.7109375" style="49" customWidth="1"/>
    <col min="13826" max="13831" width="10.7109375" style="49" customWidth="1"/>
    <col min="13832" max="14080" width="9.140625" style="49" customWidth="1"/>
    <col min="14081" max="14081" width="20.7109375" style="49" customWidth="1"/>
    <col min="14082" max="14087" width="10.7109375" style="49" customWidth="1"/>
    <col min="14088" max="14336" width="9.140625" style="49" customWidth="1"/>
    <col min="14337" max="14337" width="20.7109375" style="49" customWidth="1"/>
    <col min="14338" max="14343" width="10.7109375" style="49" customWidth="1"/>
    <col min="14344" max="14592" width="9.140625" style="49" customWidth="1"/>
    <col min="14593" max="14593" width="20.7109375" style="49" customWidth="1"/>
    <col min="14594" max="14599" width="10.7109375" style="49" customWidth="1"/>
    <col min="14600" max="14848" width="9.140625" style="49" customWidth="1"/>
    <col min="14849" max="14849" width="20.7109375" style="49" customWidth="1"/>
    <col min="14850" max="14855" width="10.7109375" style="49" customWidth="1"/>
    <col min="14856" max="15104" width="9.140625" style="49" customWidth="1"/>
    <col min="15105" max="15105" width="20.7109375" style="49" customWidth="1"/>
    <col min="15106" max="15111" width="10.7109375" style="49" customWidth="1"/>
    <col min="15112" max="15360" width="9.140625" style="49" customWidth="1"/>
    <col min="15361" max="15361" width="20.7109375" style="49" customWidth="1"/>
    <col min="15362" max="15367" width="10.7109375" style="49" customWidth="1"/>
    <col min="15368" max="15616" width="9.140625" style="49" customWidth="1"/>
    <col min="15617" max="15617" width="20.7109375" style="49" customWidth="1"/>
    <col min="15618" max="15623" width="10.7109375" style="49" customWidth="1"/>
    <col min="15624" max="15872" width="9.140625" style="49" customWidth="1"/>
    <col min="15873" max="15873" width="20.7109375" style="49" customWidth="1"/>
    <col min="15874" max="15879" width="10.7109375" style="49" customWidth="1"/>
    <col min="15880" max="16128" width="9.140625" style="49" customWidth="1"/>
    <col min="16129" max="16129" width="20.7109375" style="49" customWidth="1"/>
    <col min="16130" max="16135" width="10.7109375" style="49" customWidth="1"/>
    <col min="16136" max="16384" width="9.140625" style="49" customWidth="1"/>
  </cols>
  <sheetData>
    <row r="1" spans="1:21" ht="15" x14ac:dyDescent="0.25">
      <c r="A1" s="121" t="s">
        <v>578</v>
      </c>
    </row>
    <row r="2" spans="1:21" x14ac:dyDescent="0.2">
      <c r="D2" s="112" t="s">
        <v>577</v>
      </c>
    </row>
    <row r="3" spans="1:21" x14ac:dyDescent="0.2">
      <c r="A3" s="112" t="s">
        <v>576</v>
      </c>
      <c r="B3" s="101"/>
      <c r="C3" s="101"/>
      <c r="D3" s="112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x14ac:dyDescent="0.2">
      <c r="A4" s="101"/>
      <c r="B4" s="102"/>
      <c r="C4" s="102"/>
      <c r="D4" s="102" t="s">
        <v>534</v>
      </c>
      <c r="E4" s="102">
        <v>1700000</v>
      </c>
      <c r="F4" s="108" t="s">
        <v>503</v>
      </c>
      <c r="G4" s="102">
        <v>1000000</v>
      </c>
      <c r="H4" s="102"/>
      <c r="I4" s="102"/>
      <c r="J4" s="102"/>
      <c r="K4" s="102"/>
      <c r="L4" s="102"/>
      <c r="M4" s="102"/>
      <c r="N4" s="102"/>
      <c r="O4" s="101"/>
      <c r="P4" s="101"/>
      <c r="Q4" s="101"/>
      <c r="R4" s="101"/>
      <c r="S4" s="101"/>
      <c r="T4" s="101"/>
      <c r="U4" s="101"/>
    </row>
    <row r="5" spans="1:21" x14ac:dyDescent="0.2">
      <c r="A5" s="101" t="s">
        <v>132</v>
      </c>
      <c r="B5" s="102">
        <v>950000</v>
      </c>
      <c r="C5" s="102"/>
      <c r="D5" s="102"/>
      <c r="E5" s="102"/>
      <c r="F5" s="108" t="s">
        <v>61</v>
      </c>
      <c r="G5" s="102">
        <v>300000</v>
      </c>
      <c r="H5" s="102"/>
      <c r="I5" s="102"/>
      <c r="J5" s="102"/>
      <c r="K5" s="102"/>
      <c r="L5" s="102"/>
      <c r="M5" s="102"/>
      <c r="N5" s="102"/>
      <c r="O5" s="101"/>
      <c r="P5" s="101"/>
      <c r="Q5" s="101"/>
      <c r="R5" s="101"/>
      <c r="S5" s="101"/>
      <c r="T5" s="101"/>
      <c r="U5" s="101"/>
    </row>
    <row r="6" spans="1:21" x14ac:dyDescent="0.2">
      <c r="A6" s="120" t="s">
        <v>575</v>
      </c>
      <c r="B6" s="107">
        <v>620000</v>
      </c>
      <c r="C6" s="102"/>
      <c r="D6" s="102" t="s">
        <v>531</v>
      </c>
      <c r="E6" s="102">
        <v>800000</v>
      </c>
      <c r="F6" s="108" t="s">
        <v>528</v>
      </c>
      <c r="G6" s="102">
        <v>750000</v>
      </c>
      <c r="H6" s="102"/>
      <c r="I6" s="102"/>
      <c r="J6" s="102"/>
      <c r="K6" s="102"/>
      <c r="L6" s="102"/>
      <c r="M6" s="102"/>
      <c r="N6" s="102"/>
      <c r="O6" s="101"/>
      <c r="P6" s="101"/>
      <c r="Q6" s="101"/>
      <c r="R6" s="101"/>
      <c r="S6" s="101"/>
      <c r="T6" s="101"/>
      <c r="U6" s="101"/>
    </row>
    <row r="7" spans="1:21" x14ac:dyDescent="0.2">
      <c r="A7" s="101" t="s">
        <v>574</v>
      </c>
      <c r="B7" s="102">
        <v>90000</v>
      </c>
      <c r="C7" s="102"/>
      <c r="D7" s="102" t="s">
        <v>529</v>
      </c>
      <c r="E7" s="102">
        <v>500000</v>
      </c>
      <c r="F7" s="69"/>
      <c r="G7" s="102"/>
      <c r="H7" s="102"/>
      <c r="I7" s="102"/>
      <c r="J7" s="102"/>
      <c r="K7" s="102"/>
      <c r="L7" s="102"/>
      <c r="M7" s="102"/>
      <c r="N7" s="102"/>
      <c r="O7" s="101"/>
      <c r="P7" s="101"/>
      <c r="Q7" s="101"/>
      <c r="R7" s="101"/>
      <c r="S7" s="101"/>
      <c r="T7" s="101"/>
      <c r="U7" s="101"/>
    </row>
    <row r="8" spans="1:21" x14ac:dyDescent="0.2">
      <c r="A8" s="101" t="s">
        <v>573</v>
      </c>
      <c r="B8" s="102">
        <v>150000</v>
      </c>
      <c r="C8" s="102"/>
      <c r="D8" s="102"/>
      <c r="E8" s="102"/>
      <c r="F8" s="108" t="s">
        <v>492</v>
      </c>
      <c r="G8" s="102">
        <v>120000</v>
      </c>
      <c r="H8" s="102"/>
      <c r="I8" s="102"/>
      <c r="J8" s="102"/>
      <c r="K8" s="102"/>
      <c r="L8" s="102"/>
      <c r="M8" s="102"/>
      <c r="N8" s="102"/>
      <c r="O8" s="101"/>
      <c r="P8" s="101"/>
      <c r="Q8" s="101"/>
      <c r="R8" s="101"/>
      <c r="S8" s="101"/>
      <c r="T8" s="101"/>
      <c r="U8" s="101"/>
    </row>
    <row r="9" spans="1:21" x14ac:dyDescent="0.2">
      <c r="A9" s="110" t="s">
        <v>572</v>
      </c>
      <c r="B9" s="105">
        <v>20000</v>
      </c>
      <c r="C9" s="102"/>
      <c r="D9" s="102"/>
      <c r="E9" s="102"/>
      <c r="F9" s="108" t="s">
        <v>489</v>
      </c>
      <c r="G9" s="102">
        <v>300000</v>
      </c>
      <c r="H9" s="102"/>
      <c r="I9" s="102"/>
      <c r="J9" s="102"/>
      <c r="K9" s="102"/>
      <c r="L9" s="102"/>
      <c r="M9" s="102"/>
      <c r="N9" s="102"/>
      <c r="O9" s="101"/>
      <c r="P9" s="101"/>
      <c r="Q9" s="101"/>
      <c r="R9" s="101"/>
      <c r="S9" s="101"/>
      <c r="T9" s="101"/>
      <c r="U9" s="101"/>
    </row>
    <row r="10" spans="1:21" x14ac:dyDescent="0.2">
      <c r="A10" s="101" t="s">
        <v>2</v>
      </c>
      <c r="B10" s="102">
        <f>B5-B6-B7-B8-B9</f>
        <v>70000</v>
      </c>
      <c r="C10" s="102"/>
      <c r="D10" s="102"/>
      <c r="E10" s="102"/>
      <c r="F10" s="108" t="s">
        <v>524</v>
      </c>
      <c r="G10" s="102">
        <v>70000</v>
      </c>
      <c r="H10" s="102"/>
      <c r="I10" s="102"/>
      <c r="J10" s="102"/>
      <c r="K10" s="102"/>
      <c r="L10" s="102"/>
      <c r="M10" s="102"/>
      <c r="N10" s="102"/>
      <c r="O10" s="101"/>
      <c r="P10" s="101"/>
      <c r="Q10" s="101"/>
      <c r="R10" s="101"/>
      <c r="S10" s="101"/>
      <c r="T10" s="101"/>
      <c r="U10" s="101"/>
    </row>
    <row r="11" spans="1:21" x14ac:dyDescent="0.2">
      <c r="A11" s="110" t="s">
        <v>571</v>
      </c>
      <c r="B11" s="105">
        <v>5000</v>
      </c>
      <c r="C11" s="102"/>
      <c r="D11" s="102"/>
      <c r="E11" s="102"/>
      <c r="F11" s="109" t="s">
        <v>523</v>
      </c>
      <c r="G11" s="102">
        <v>250000</v>
      </c>
      <c r="H11" s="102"/>
      <c r="I11" s="102"/>
      <c r="J11" s="102"/>
      <c r="K11" s="102"/>
      <c r="L11" s="102"/>
      <c r="M11" s="102"/>
      <c r="N11" s="102"/>
      <c r="O11" s="101"/>
      <c r="P11" s="101"/>
      <c r="Q11" s="101"/>
      <c r="R11" s="101"/>
      <c r="S11" s="101"/>
      <c r="T11" s="101"/>
      <c r="U11" s="101"/>
    </row>
    <row r="12" spans="1:21" x14ac:dyDescent="0.2">
      <c r="A12" s="101" t="s">
        <v>570</v>
      </c>
      <c r="B12" s="102">
        <f>B10-B11</f>
        <v>65000</v>
      </c>
      <c r="C12" s="102"/>
      <c r="D12" s="102"/>
      <c r="E12" s="102"/>
      <c r="F12" s="108" t="s">
        <v>521</v>
      </c>
      <c r="G12" s="102">
        <v>50000</v>
      </c>
      <c r="H12" s="102"/>
      <c r="I12" s="102"/>
      <c r="J12" s="102"/>
      <c r="K12" s="102"/>
      <c r="L12" s="102"/>
      <c r="M12" s="102"/>
      <c r="N12" s="102"/>
      <c r="O12" s="101"/>
      <c r="P12" s="101"/>
      <c r="Q12" s="101"/>
      <c r="R12" s="101"/>
      <c r="S12" s="101"/>
      <c r="T12" s="101"/>
      <c r="U12" s="101"/>
    </row>
    <row r="13" spans="1:21" x14ac:dyDescent="0.2">
      <c r="A13" s="110" t="s">
        <v>569</v>
      </c>
      <c r="B13" s="105">
        <f>B17*B12</f>
        <v>17550</v>
      </c>
      <c r="C13" s="102"/>
      <c r="D13" s="102"/>
      <c r="E13" s="102"/>
      <c r="F13" s="108" t="s">
        <v>519</v>
      </c>
      <c r="G13" s="102">
        <v>160000</v>
      </c>
      <c r="H13" s="102"/>
      <c r="I13" s="102"/>
      <c r="J13" s="102"/>
      <c r="K13" s="102"/>
      <c r="L13" s="102"/>
      <c r="M13" s="102"/>
      <c r="N13" s="102"/>
      <c r="O13" s="101"/>
      <c r="P13" s="101"/>
      <c r="Q13" s="101"/>
      <c r="R13" s="101"/>
      <c r="S13" s="101"/>
      <c r="T13" s="101"/>
      <c r="U13" s="101"/>
    </row>
    <row r="14" spans="1:21" x14ac:dyDescent="0.2">
      <c r="A14" s="114" t="s">
        <v>568</v>
      </c>
      <c r="B14" s="113">
        <f>B12-B13</f>
        <v>47450</v>
      </c>
      <c r="C14" s="102"/>
      <c r="D14" s="105"/>
      <c r="E14" s="105"/>
      <c r="F14" s="106"/>
      <c r="G14" s="105"/>
      <c r="H14" s="102"/>
      <c r="I14" s="102"/>
      <c r="J14" s="102"/>
      <c r="K14" s="102"/>
      <c r="L14" s="102"/>
      <c r="M14" s="102"/>
      <c r="N14" s="102"/>
      <c r="O14" s="101"/>
      <c r="P14" s="101"/>
      <c r="Q14" s="101"/>
      <c r="R14" s="101"/>
      <c r="S14" s="101"/>
      <c r="T14" s="101"/>
      <c r="U14" s="101"/>
    </row>
    <row r="15" spans="1:21" x14ac:dyDescent="0.2">
      <c r="A15" s="101"/>
      <c r="B15" s="102"/>
      <c r="C15" s="102"/>
      <c r="D15" s="102" t="s">
        <v>478</v>
      </c>
      <c r="E15" s="102">
        <f>SUM(E4:E14)</f>
        <v>3000000</v>
      </c>
      <c r="F15" s="85" t="s">
        <v>567</v>
      </c>
      <c r="G15" s="102">
        <f>SUM(G4:G14)</f>
        <v>3000000</v>
      </c>
      <c r="H15" s="102"/>
      <c r="I15" s="102"/>
      <c r="J15" s="102"/>
      <c r="K15" s="102"/>
      <c r="L15" s="102"/>
      <c r="M15" s="102"/>
      <c r="N15" s="102"/>
      <c r="O15" s="101"/>
      <c r="P15" s="101"/>
      <c r="Q15" s="101"/>
      <c r="R15" s="101"/>
      <c r="S15" s="101"/>
      <c r="T15" s="101"/>
      <c r="U15" s="101"/>
    </row>
    <row r="16" spans="1:21" ht="12.75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1"/>
      <c r="P16" s="101"/>
      <c r="Q16" s="101"/>
      <c r="R16" s="101"/>
      <c r="S16" s="101"/>
      <c r="T16" s="101"/>
      <c r="U16" s="101"/>
    </row>
    <row r="17" spans="1:21" x14ac:dyDescent="0.2">
      <c r="A17" s="101" t="s">
        <v>130</v>
      </c>
      <c r="B17" s="119">
        <v>0.27</v>
      </c>
      <c r="C17" s="102"/>
      <c r="D17" s="102"/>
      <c r="E17" s="102"/>
      <c r="F17" s="102"/>
      <c r="G17" s="102"/>
      <c r="H17" s="102"/>
      <c r="M17" s="102"/>
      <c r="N17" s="102"/>
      <c r="O17" s="101"/>
      <c r="P17" s="101"/>
      <c r="Q17" s="101"/>
      <c r="R17" s="101"/>
      <c r="S17" s="101"/>
      <c r="T17" s="101"/>
      <c r="U17" s="101"/>
    </row>
    <row r="18" spans="1:21" x14ac:dyDescent="0.2">
      <c r="A18" s="49" t="s">
        <v>462</v>
      </c>
      <c r="B18" s="119">
        <v>0.25</v>
      </c>
      <c r="C18" s="102"/>
      <c r="D18" s="101" t="s">
        <v>566</v>
      </c>
      <c r="E18" s="102"/>
      <c r="F18" s="102"/>
      <c r="G18" s="102"/>
      <c r="H18" s="102"/>
      <c r="M18" s="102"/>
      <c r="N18" s="102"/>
      <c r="O18" s="101"/>
      <c r="P18" s="101"/>
      <c r="Q18" s="101"/>
      <c r="R18" s="101"/>
      <c r="S18" s="101"/>
      <c r="T18" s="101"/>
      <c r="U18" s="101"/>
    </row>
    <row r="19" spans="1:21" x14ac:dyDescent="0.2">
      <c r="A19" s="101" t="s">
        <v>565</v>
      </c>
      <c r="B19" s="102">
        <v>500000</v>
      </c>
      <c r="C19" s="102"/>
      <c r="D19" s="101" t="s">
        <v>564</v>
      </c>
      <c r="E19" s="102"/>
      <c r="F19" s="102"/>
      <c r="G19" s="102"/>
      <c r="H19" s="102"/>
      <c r="M19" s="102"/>
      <c r="N19" s="102"/>
      <c r="O19" s="101"/>
      <c r="P19" s="101"/>
      <c r="Q19" s="101"/>
      <c r="R19" s="101"/>
      <c r="S19" s="101"/>
      <c r="T19" s="101"/>
      <c r="U19" s="101"/>
    </row>
    <row r="20" spans="1:21" x14ac:dyDescent="0.2">
      <c r="A20" s="101" t="s">
        <v>563</v>
      </c>
      <c r="B20" s="102">
        <v>30</v>
      </c>
      <c r="C20" s="102"/>
      <c r="D20" s="101"/>
      <c r="E20" s="102"/>
      <c r="F20" s="102"/>
      <c r="G20" s="102"/>
      <c r="H20" s="102"/>
      <c r="M20" s="102"/>
      <c r="N20" s="102"/>
      <c r="O20" s="101"/>
      <c r="P20" s="101"/>
      <c r="Q20" s="101"/>
      <c r="R20" s="101"/>
      <c r="S20" s="101"/>
      <c r="T20" s="101"/>
      <c r="U20" s="101"/>
    </row>
    <row r="21" spans="1:21" x14ac:dyDescent="0.2">
      <c r="A21" s="101" t="s">
        <v>562</v>
      </c>
      <c r="B21" s="102">
        <v>30</v>
      </c>
      <c r="C21" s="102"/>
      <c r="D21" s="101" t="s">
        <v>561</v>
      </c>
      <c r="E21" s="102"/>
      <c r="F21" s="102"/>
      <c r="G21" s="102"/>
      <c r="H21" s="102"/>
      <c r="M21" s="102"/>
      <c r="N21" s="102"/>
      <c r="O21" s="101"/>
      <c r="P21" s="101"/>
      <c r="Q21" s="101"/>
      <c r="R21" s="101"/>
      <c r="S21" s="101"/>
      <c r="T21" s="101"/>
      <c r="U21" s="101"/>
    </row>
    <row r="22" spans="1:21" x14ac:dyDescent="0.2">
      <c r="A22" s="101" t="s">
        <v>560</v>
      </c>
      <c r="B22" s="102"/>
      <c r="C22" s="102"/>
      <c r="D22" s="102" t="s">
        <v>559</v>
      </c>
      <c r="E22" s="102"/>
      <c r="F22" s="102"/>
      <c r="G22" s="102"/>
      <c r="H22" s="102"/>
      <c r="M22" s="102"/>
      <c r="N22" s="102"/>
      <c r="O22" s="101"/>
      <c r="P22" s="101"/>
      <c r="Q22" s="101"/>
      <c r="R22" s="101"/>
      <c r="S22" s="101"/>
      <c r="T22" s="101"/>
      <c r="U22" s="101"/>
    </row>
    <row r="23" spans="1:21" x14ac:dyDescent="0.2">
      <c r="A23" s="101"/>
      <c r="B23" s="102">
        <v>100000</v>
      </c>
      <c r="C23" s="102"/>
      <c r="D23" s="102" t="s">
        <v>558</v>
      </c>
      <c r="E23" s="102"/>
      <c r="F23" s="102"/>
      <c r="G23" s="102"/>
      <c r="H23" s="102"/>
      <c r="M23" s="102"/>
      <c r="N23" s="102"/>
      <c r="O23" s="101"/>
      <c r="P23" s="101"/>
      <c r="Q23" s="101"/>
      <c r="R23" s="101"/>
      <c r="S23" s="101"/>
      <c r="T23" s="101"/>
      <c r="U23" s="101"/>
    </row>
    <row r="24" spans="1:21" x14ac:dyDescent="0.2">
      <c r="A24" s="101" t="s">
        <v>238</v>
      </c>
      <c r="B24" s="118">
        <v>0.14099999999999999</v>
      </c>
      <c r="C24" s="102"/>
      <c r="D24" s="102" t="s">
        <v>557</v>
      </c>
      <c r="E24" s="102"/>
      <c r="F24" s="102"/>
      <c r="G24" s="102"/>
      <c r="H24" s="102"/>
      <c r="M24" s="102"/>
      <c r="N24" s="102"/>
      <c r="O24" s="101"/>
      <c r="P24" s="101"/>
      <c r="Q24" s="101"/>
      <c r="R24" s="101"/>
      <c r="S24" s="101"/>
      <c r="T24" s="101"/>
      <c r="U24" s="101"/>
    </row>
    <row r="25" spans="1:21" x14ac:dyDescent="0.2">
      <c r="A25" s="101" t="s">
        <v>346</v>
      </c>
      <c r="B25" s="118">
        <v>0.12</v>
      </c>
      <c r="C25" s="102"/>
      <c r="D25" s="102"/>
      <c r="E25" s="102"/>
      <c r="F25" s="102"/>
      <c r="G25" s="102">
        <v>20000</v>
      </c>
      <c r="H25" s="102"/>
      <c r="M25" s="102"/>
      <c r="N25" s="102"/>
      <c r="O25" s="101"/>
      <c r="P25" s="101"/>
      <c r="Q25" s="101"/>
      <c r="R25" s="101"/>
      <c r="S25" s="101"/>
      <c r="T25" s="101"/>
      <c r="U25" s="101"/>
    </row>
    <row r="26" spans="1:21" x14ac:dyDescent="0.2">
      <c r="A26" s="101" t="s">
        <v>556</v>
      </c>
      <c r="B26" s="102">
        <v>5000</v>
      </c>
      <c r="C26" s="102"/>
      <c r="D26" s="102" t="s">
        <v>555</v>
      </c>
      <c r="E26" s="102"/>
      <c r="F26" s="102"/>
      <c r="G26" s="102"/>
      <c r="H26" s="102"/>
      <c r="M26" s="102"/>
      <c r="N26" s="102"/>
      <c r="O26" s="101"/>
      <c r="P26" s="101"/>
      <c r="Q26" s="101"/>
      <c r="R26" s="101"/>
      <c r="S26" s="101"/>
      <c r="T26" s="101"/>
      <c r="U26" s="101"/>
    </row>
    <row r="27" spans="1:21" x14ac:dyDescent="0.2">
      <c r="A27" s="101" t="s">
        <v>554</v>
      </c>
      <c r="B27" s="102">
        <v>80000</v>
      </c>
      <c r="C27" s="102"/>
      <c r="D27" s="102"/>
      <c r="E27" s="102"/>
      <c r="F27" s="102"/>
      <c r="G27" s="102"/>
      <c r="H27" s="102"/>
      <c r="M27" s="102"/>
      <c r="N27" s="102"/>
      <c r="O27" s="101"/>
      <c r="P27" s="101"/>
      <c r="Q27" s="101"/>
      <c r="R27" s="101"/>
      <c r="S27" s="101"/>
      <c r="T27" s="101"/>
      <c r="U27" s="101"/>
    </row>
    <row r="28" spans="1:21" ht="12.75" customHeight="1" x14ac:dyDescent="0.2">
      <c r="A28" s="101"/>
      <c r="B28" s="102"/>
      <c r="C28" s="102"/>
      <c r="D28" s="102"/>
      <c r="E28" s="102"/>
      <c r="F28" s="102"/>
      <c r="G28" s="102"/>
      <c r="H28" s="102"/>
      <c r="M28" s="102"/>
      <c r="N28" s="102"/>
      <c r="O28" s="101"/>
      <c r="P28" s="101"/>
      <c r="Q28" s="101"/>
      <c r="R28" s="101"/>
      <c r="S28" s="101"/>
      <c r="T28" s="101"/>
      <c r="U28" s="101"/>
    </row>
    <row r="29" spans="1:21" x14ac:dyDescent="0.2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1"/>
      <c r="P29" s="101"/>
      <c r="Q29" s="101"/>
      <c r="R29" s="101"/>
      <c r="S29" s="101"/>
      <c r="T29" s="101"/>
      <c r="U29" s="101"/>
    </row>
    <row r="30" spans="1:21" x14ac:dyDescent="0.2">
      <c r="A30" s="112" t="s">
        <v>553</v>
      </c>
      <c r="B30" s="102"/>
      <c r="C30" s="102"/>
      <c r="D30" s="102"/>
      <c r="F30" s="102"/>
      <c r="G30" s="102"/>
      <c r="H30" s="102"/>
      <c r="I30" s="102"/>
      <c r="J30" s="102"/>
      <c r="K30" s="102"/>
      <c r="L30" s="102"/>
      <c r="M30" s="102"/>
      <c r="N30" s="102"/>
      <c r="O30" s="101"/>
      <c r="P30" s="101"/>
      <c r="Q30" s="101"/>
      <c r="R30" s="101"/>
      <c r="S30" s="101"/>
      <c r="T30" s="101"/>
      <c r="U30" s="101"/>
    </row>
    <row r="31" spans="1:21" x14ac:dyDescent="0.2">
      <c r="A31" s="101"/>
      <c r="B31" s="102"/>
      <c r="C31" s="102"/>
      <c r="D31" s="102"/>
      <c r="E31" s="115" t="s">
        <v>552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1"/>
      <c r="P31" s="101"/>
      <c r="Q31" s="101"/>
      <c r="R31" s="101"/>
      <c r="S31" s="101"/>
      <c r="T31" s="101"/>
      <c r="U31" s="101"/>
    </row>
    <row r="32" spans="1:21" x14ac:dyDescent="0.2">
      <c r="A32" s="116" t="s">
        <v>295</v>
      </c>
      <c r="B32" s="117" t="s">
        <v>147</v>
      </c>
      <c r="C32" s="117" t="s">
        <v>218</v>
      </c>
      <c r="D32" s="102"/>
      <c r="E32" s="102" t="s">
        <v>551</v>
      </c>
      <c r="G32" s="102">
        <f>B8</f>
        <v>150000</v>
      </c>
      <c r="H32" s="102"/>
      <c r="I32" s="102"/>
      <c r="J32" s="102"/>
      <c r="K32" s="102"/>
      <c r="L32" s="102"/>
      <c r="M32" s="102"/>
      <c r="N32" s="102"/>
      <c r="O32" s="101"/>
      <c r="P32" s="101"/>
      <c r="Q32" s="101"/>
      <c r="R32" s="101"/>
      <c r="S32" s="101"/>
      <c r="T32" s="101"/>
      <c r="U32" s="101"/>
    </row>
    <row r="33" spans="1:21" x14ac:dyDescent="0.2">
      <c r="A33" s="101" t="s">
        <v>550</v>
      </c>
      <c r="B33" s="102">
        <f>E7</f>
        <v>500000</v>
      </c>
      <c r="C33" s="102"/>
      <c r="D33" s="102"/>
      <c r="E33" s="105" t="s">
        <v>549</v>
      </c>
      <c r="F33" s="59"/>
      <c r="G33" s="105">
        <f>G32*B24/(1+B24)</f>
        <v>18536.371603856263</v>
      </c>
      <c r="H33" s="102"/>
      <c r="I33" s="102"/>
      <c r="J33" s="102"/>
      <c r="K33" s="102"/>
      <c r="L33" s="102"/>
      <c r="M33" s="102"/>
      <c r="N33" s="102"/>
      <c r="O33" s="101"/>
      <c r="P33" s="101"/>
      <c r="Q33" s="101"/>
      <c r="R33" s="101"/>
      <c r="S33" s="101"/>
      <c r="T33" s="101"/>
      <c r="U33" s="101"/>
    </row>
    <row r="34" spans="1:21" x14ac:dyDescent="0.2">
      <c r="A34" s="101" t="s">
        <v>548</v>
      </c>
      <c r="B34" s="102"/>
      <c r="C34" s="102">
        <f>B5*(1+B18)</f>
        <v>1187500</v>
      </c>
      <c r="D34" s="102"/>
      <c r="E34" s="102" t="s">
        <v>547</v>
      </c>
      <c r="G34" s="102">
        <f>G32-G33</f>
        <v>131463.62839614373</v>
      </c>
      <c r="H34" s="102"/>
      <c r="I34" s="102"/>
      <c r="J34" s="102"/>
      <c r="K34" s="102"/>
      <c r="L34" s="102"/>
      <c r="M34" s="102"/>
      <c r="N34" s="102"/>
      <c r="O34" s="101"/>
      <c r="P34" s="101"/>
      <c r="Q34" s="101"/>
      <c r="R34" s="101"/>
      <c r="S34" s="101"/>
      <c r="T34" s="101"/>
      <c r="U34" s="101"/>
    </row>
    <row r="35" spans="1:21" x14ac:dyDescent="0.2">
      <c r="A35" s="114" t="s">
        <v>400</v>
      </c>
      <c r="B35" s="113">
        <f>SUM(B33:B34)</f>
        <v>500000</v>
      </c>
      <c r="C35" s="107"/>
      <c r="D35" s="102"/>
      <c r="E35" s="105" t="s">
        <v>546</v>
      </c>
      <c r="F35" s="59"/>
      <c r="G35" s="105">
        <f>G34*B25/(1+B25)</f>
        <v>14085.388756729684</v>
      </c>
      <c r="H35" s="102"/>
      <c r="I35" s="102"/>
      <c r="J35" s="102"/>
      <c r="K35" s="102"/>
      <c r="L35" s="102"/>
      <c r="M35" s="102"/>
      <c r="N35" s="102"/>
      <c r="O35" s="101"/>
      <c r="P35" s="101"/>
      <c r="Q35" s="101"/>
      <c r="R35" s="101"/>
      <c r="S35" s="101"/>
      <c r="T35" s="101"/>
      <c r="U35" s="101"/>
    </row>
    <row r="36" spans="1:21" x14ac:dyDescent="0.2">
      <c r="A36" s="116" t="s">
        <v>399</v>
      </c>
      <c r="B36" s="102"/>
      <c r="C36" s="102"/>
      <c r="D36" s="102"/>
      <c r="E36" s="102" t="s">
        <v>545</v>
      </c>
      <c r="G36" s="102">
        <f>G34-G35</f>
        <v>117378.23963941404</v>
      </c>
      <c r="H36" s="102"/>
      <c r="I36" s="102"/>
      <c r="J36" s="102"/>
      <c r="K36" s="102"/>
      <c r="L36" s="102"/>
      <c r="M36" s="102"/>
      <c r="N36" s="102"/>
      <c r="O36" s="101"/>
      <c r="P36" s="101"/>
      <c r="Q36" s="101"/>
      <c r="R36" s="101"/>
      <c r="S36" s="101"/>
      <c r="T36" s="101"/>
      <c r="U36" s="101"/>
    </row>
    <row r="37" spans="1:21" x14ac:dyDescent="0.2">
      <c r="A37" s="101" t="s">
        <v>544</v>
      </c>
      <c r="B37" s="102">
        <f>G9</f>
        <v>300000</v>
      </c>
      <c r="C37" s="102">
        <f>B23*(1+B18)</f>
        <v>125000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1"/>
      <c r="P37" s="101"/>
      <c r="Q37" s="101"/>
      <c r="R37" s="101"/>
      <c r="S37" s="101"/>
      <c r="T37" s="101"/>
      <c r="U37" s="101"/>
    </row>
    <row r="38" spans="1:21" x14ac:dyDescent="0.2">
      <c r="A38" s="101" t="s">
        <v>171</v>
      </c>
      <c r="B38" s="102">
        <f>G36</f>
        <v>117378.23963941404</v>
      </c>
      <c r="C38" s="102"/>
      <c r="D38" s="102"/>
      <c r="E38" s="115" t="s">
        <v>543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1"/>
      <c r="P38" s="101"/>
      <c r="Q38" s="101"/>
      <c r="R38" s="101"/>
      <c r="S38" s="101"/>
      <c r="T38" s="101"/>
      <c r="U38" s="101"/>
    </row>
    <row r="39" spans="1:21" x14ac:dyDescent="0.2">
      <c r="A39" s="49" t="s">
        <v>542</v>
      </c>
      <c r="B39" s="102">
        <f>G25</f>
        <v>20000</v>
      </c>
      <c r="C39" s="102">
        <f>G33</f>
        <v>18536.371603856263</v>
      </c>
      <c r="D39" s="102"/>
      <c r="E39" s="102" t="s">
        <v>541</v>
      </c>
      <c r="F39" s="102"/>
      <c r="G39" s="102">
        <f>B18*B5</f>
        <v>237500</v>
      </c>
      <c r="H39" s="102"/>
      <c r="I39" s="102"/>
      <c r="J39" s="102"/>
      <c r="K39" s="102"/>
      <c r="L39" s="102"/>
      <c r="M39" s="102"/>
      <c r="N39" s="102"/>
      <c r="O39" s="101"/>
      <c r="P39" s="101"/>
      <c r="Q39" s="101"/>
      <c r="R39" s="101"/>
      <c r="S39" s="101"/>
      <c r="T39" s="101"/>
      <c r="U39" s="101"/>
    </row>
    <row r="40" spans="1:21" x14ac:dyDescent="0.2">
      <c r="A40" s="49" t="s">
        <v>190</v>
      </c>
      <c r="B40" s="102"/>
      <c r="C40" s="102">
        <f>G42+G11</f>
        <v>440000</v>
      </c>
      <c r="D40" s="102"/>
      <c r="E40" s="102" t="s">
        <v>540</v>
      </c>
      <c r="F40" s="102"/>
      <c r="G40" s="102">
        <f>B18*B7</f>
        <v>22500</v>
      </c>
      <c r="H40" s="102"/>
      <c r="I40" s="102"/>
      <c r="J40" s="102"/>
      <c r="K40" s="102"/>
      <c r="L40" s="102"/>
      <c r="M40" s="102"/>
      <c r="N40" s="102"/>
      <c r="O40" s="101"/>
      <c r="P40" s="101"/>
      <c r="Q40" s="101"/>
      <c r="R40" s="101"/>
      <c r="S40" s="101"/>
      <c r="T40" s="101"/>
      <c r="U40" s="101"/>
    </row>
    <row r="41" spans="1:21" x14ac:dyDescent="0.2">
      <c r="A41" s="101" t="s">
        <v>539</v>
      </c>
      <c r="B41" s="102">
        <f>B7*(1+B18)</f>
        <v>112500</v>
      </c>
      <c r="C41" s="102"/>
      <c r="D41" s="102"/>
      <c r="E41" s="105" t="s">
        <v>538</v>
      </c>
      <c r="F41" s="105"/>
      <c r="G41" s="105">
        <f>B18*B23</f>
        <v>25000</v>
      </c>
      <c r="H41" s="102"/>
      <c r="I41" s="102"/>
      <c r="J41" s="102"/>
      <c r="K41" s="102"/>
      <c r="L41" s="102"/>
      <c r="M41" s="102"/>
      <c r="N41" s="102"/>
      <c r="O41" s="101"/>
      <c r="P41" s="101"/>
      <c r="Q41" s="101"/>
      <c r="R41" s="101"/>
      <c r="S41" s="101"/>
      <c r="T41" s="101"/>
      <c r="U41" s="101"/>
    </row>
    <row r="42" spans="1:21" x14ac:dyDescent="0.2">
      <c r="A42" s="114" t="s">
        <v>396</v>
      </c>
      <c r="B42" s="113">
        <f>SUM(B37:B41)</f>
        <v>549878.23963941401</v>
      </c>
      <c r="C42" s="107"/>
      <c r="D42" s="102"/>
      <c r="E42" s="102" t="s">
        <v>537</v>
      </c>
      <c r="F42" s="102"/>
      <c r="G42" s="102">
        <f>G39-G40-G41</f>
        <v>190000</v>
      </c>
      <c r="H42" s="102"/>
      <c r="I42" s="102"/>
      <c r="J42" s="102"/>
      <c r="K42" s="102"/>
      <c r="L42" s="102"/>
      <c r="M42" s="102"/>
      <c r="N42" s="102"/>
      <c r="O42" s="101"/>
      <c r="P42" s="101"/>
      <c r="Q42" s="101"/>
      <c r="R42" s="101"/>
      <c r="S42" s="101"/>
      <c r="T42" s="101"/>
      <c r="U42" s="101"/>
    </row>
    <row r="43" spans="1:21" x14ac:dyDescent="0.2">
      <c r="A43" s="54" t="s">
        <v>394</v>
      </c>
      <c r="B43" s="103">
        <f>B35-B42</f>
        <v>-49878.239639414009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1"/>
      <c r="P43" s="101"/>
      <c r="Q43" s="101"/>
      <c r="R43" s="101"/>
      <c r="S43" s="101"/>
      <c r="T43" s="101"/>
      <c r="U43" s="101"/>
    </row>
    <row r="44" spans="1:21" x14ac:dyDescent="0.2">
      <c r="A44" s="116" t="s">
        <v>302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1"/>
      <c r="P44" s="101"/>
      <c r="Q44" s="101"/>
      <c r="R44" s="101"/>
      <c r="S44" s="101"/>
      <c r="T44" s="101"/>
      <c r="U44" s="101"/>
    </row>
    <row r="45" spans="1:21" x14ac:dyDescent="0.2">
      <c r="A45" s="101" t="s">
        <v>303</v>
      </c>
      <c r="B45" s="102">
        <f>B27</f>
        <v>80000</v>
      </c>
      <c r="C45" s="102"/>
      <c r="D45" s="102"/>
      <c r="E45" s="115" t="s">
        <v>536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1"/>
      <c r="P45" s="101"/>
      <c r="Q45" s="101"/>
      <c r="R45" s="101"/>
      <c r="S45" s="101"/>
      <c r="T45" s="101"/>
      <c r="U45" s="101"/>
    </row>
    <row r="46" spans="1:21" x14ac:dyDescent="0.2">
      <c r="A46" s="49" t="s">
        <v>240</v>
      </c>
      <c r="B46" s="102">
        <f>B26</f>
        <v>5000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1"/>
      <c r="P46" s="101"/>
      <c r="Q46" s="101"/>
      <c r="R46" s="101"/>
      <c r="S46" s="101"/>
      <c r="T46" s="101"/>
      <c r="U46" s="101"/>
    </row>
    <row r="47" spans="1:21" x14ac:dyDescent="0.2">
      <c r="A47" s="114" t="s">
        <v>535</v>
      </c>
      <c r="B47" s="113">
        <f>SUM(B45:B46)</f>
        <v>85000</v>
      </c>
      <c r="C47" s="102"/>
      <c r="D47" s="102"/>
      <c r="E47" s="102" t="s">
        <v>534</v>
      </c>
      <c r="F47" s="102">
        <f>E4-B9</f>
        <v>1680000</v>
      </c>
      <c r="G47" s="108" t="s">
        <v>503</v>
      </c>
      <c r="H47" s="102">
        <f>G4</f>
        <v>1000000</v>
      </c>
      <c r="I47" s="102"/>
      <c r="J47" s="102"/>
      <c r="K47" s="102"/>
      <c r="L47" s="102"/>
      <c r="M47" s="102"/>
      <c r="N47" s="102"/>
      <c r="O47" s="101"/>
      <c r="P47" s="101"/>
      <c r="Q47" s="101"/>
      <c r="R47" s="101"/>
      <c r="S47" s="101"/>
      <c r="T47" s="101"/>
      <c r="U47" s="101"/>
    </row>
    <row r="48" spans="1:21" x14ac:dyDescent="0.2">
      <c r="A48" s="54" t="s">
        <v>533</v>
      </c>
      <c r="B48" s="57">
        <f>-B45-B46</f>
        <v>-85000</v>
      </c>
      <c r="C48" s="102"/>
      <c r="D48" s="102"/>
      <c r="E48" s="102"/>
      <c r="F48" s="102"/>
      <c r="G48" s="108" t="s">
        <v>61</v>
      </c>
      <c r="H48" s="102">
        <f>G5</f>
        <v>300000</v>
      </c>
      <c r="I48" s="102"/>
      <c r="J48" s="102"/>
      <c r="K48" s="102"/>
      <c r="L48" s="102"/>
      <c r="M48" s="102"/>
      <c r="N48" s="102"/>
      <c r="O48" s="101"/>
      <c r="P48" s="101"/>
      <c r="Q48" s="101"/>
      <c r="R48" s="101"/>
      <c r="S48" s="101"/>
      <c r="T48" s="101"/>
      <c r="U48" s="101"/>
    </row>
    <row r="49" spans="1:21" x14ac:dyDescent="0.2">
      <c r="A49" s="112" t="s">
        <v>532</v>
      </c>
      <c r="B49" s="102">
        <f>B43+B48</f>
        <v>-134878.23963941401</v>
      </c>
      <c r="C49" s="102"/>
      <c r="D49" s="102"/>
      <c r="E49" s="102" t="s">
        <v>531</v>
      </c>
      <c r="F49" s="102">
        <f>B60</f>
        <v>280000</v>
      </c>
      <c r="G49" s="109" t="s">
        <v>530</v>
      </c>
      <c r="H49" s="102">
        <f>B14</f>
        <v>47450</v>
      </c>
      <c r="I49" s="102"/>
      <c r="J49" s="102"/>
      <c r="K49" s="102"/>
      <c r="L49" s="102"/>
      <c r="M49" s="102"/>
      <c r="N49" s="102"/>
      <c r="O49" s="101"/>
      <c r="P49" s="101"/>
      <c r="Q49" s="101"/>
      <c r="R49" s="101"/>
      <c r="S49" s="101"/>
      <c r="T49" s="101"/>
      <c r="U49" s="101"/>
    </row>
    <row r="50" spans="1:21" x14ac:dyDescent="0.2">
      <c r="B50" s="102"/>
      <c r="C50" s="102"/>
      <c r="D50" s="102"/>
      <c r="E50" s="102" t="s">
        <v>529</v>
      </c>
      <c r="F50" s="102">
        <f>C34</f>
        <v>1187500</v>
      </c>
      <c r="G50" s="108" t="s">
        <v>528</v>
      </c>
      <c r="H50" s="102">
        <f>G6-B27</f>
        <v>670000</v>
      </c>
      <c r="I50" s="102"/>
      <c r="J50" s="102"/>
      <c r="K50" s="102"/>
      <c r="L50" s="102"/>
      <c r="M50" s="102"/>
      <c r="N50" s="102"/>
      <c r="O50" s="101"/>
      <c r="P50" s="101"/>
      <c r="Q50" s="101"/>
      <c r="R50" s="101"/>
      <c r="S50" s="101"/>
      <c r="T50" s="101"/>
      <c r="U50" s="101"/>
    </row>
    <row r="51" spans="1:21" x14ac:dyDescent="0.2">
      <c r="A51" s="101" t="s">
        <v>527</v>
      </c>
      <c r="B51" s="102">
        <f>-G8+E8</f>
        <v>-120000</v>
      </c>
      <c r="C51" s="102"/>
      <c r="D51" s="102"/>
      <c r="E51" s="102"/>
      <c r="F51" s="111"/>
      <c r="G51" s="69"/>
      <c r="H51" s="102"/>
      <c r="I51" s="102"/>
      <c r="J51" s="102"/>
      <c r="K51" s="102"/>
      <c r="L51" s="102"/>
      <c r="M51" s="102"/>
      <c r="N51" s="102"/>
      <c r="O51" s="101"/>
      <c r="P51" s="101"/>
      <c r="Q51" s="101"/>
      <c r="R51" s="101"/>
      <c r="S51" s="101"/>
      <c r="T51" s="101"/>
      <c r="U51" s="101"/>
    </row>
    <row r="52" spans="1:21" x14ac:dyDescent="0.2">
      <c r="A52" s="101" t="s">
        <v>526</v>
      </c>
      <c r="B52" s="102">
        <f>B51+B49</f>
        <v>-254878.23963941401</v>
      </c>
      <c r="C52" s="102">
        <f>-B52</f>
        <v>254878.23963941401</v>
      </c>
      <c r="D52" s="102"/>
      <c r="E52" s="102"/>
      <c r="F52" s="102"/>
      <c r="G52" s="108" t="s">
        <v>492</v>
      </c>
      <c r="H52" s="102">
        <f>C52</f>
        <v>254878.23963941401</v>
      </c>
      <c r="I52" s="102"/>
      <c r="J52" s="102"/>
      <c r="K52" s="102"/>
      <c r="L52" s="102"/>
      <c r="M52" s="102"/>
      <c r="N52" s="102"/>
      <c r="O52" s="101"/>
      <c r="P52" s="101"/>
      <c r="Q52" s="101"/>
      <c r="R52" s="101"/>
      <c r="S52" s="101"/>
      <c r="T52" s="101"/>
      <c r="U52" s="101"/>
    </row>
    <row r="53" spans="1:21" x14ac:dyDescent="0.2">
      <c r="A53" s="101" t="s">
        <v>525</v>
      </c>
      <c r="B53" s="102">
        <f>B19+B52</f>
        <v>245121.76036058599</v>
      </c>
      <c r="C53" s="102"/>
      <c r="D53" s="102"/>
      <c r="E53" s="102"/>
      <c r="F53" s="102"/>
      <c r="G53" s="108" t="s">
        <v>489</v>
      </c>
      <c r="H53" s="102">
        <f>C37</f>
        <v>125000</v>
      </c>
      <c r="I53" s="102"/>
      <c r="J53" s="102"/>
      <c r="K53" s="102"/>
      <c r="L53" s="102"/>
      <c r="M53" s="102"/>
      <c r="N53" s="102"/>
      <c r="O53" s="101"/>
      <c r="P53" s="101"/>
      <c r="Q53" s="101"/>
      <c r="R53" s="101"/>
      <c r="S53" s="101"/>
      <c r="T53" s="101"/>
      <c r="U53" s="101"/>
    </row>
    <row r="54" spans="1:21" x14ac:dyDescent="0.2">
      <c r="A54" s="110"/>
      <c r="B54" s="105"/>
      <c r="C54" s="105"/>
      <c r="D54" s="102"/>
      <c r="E54" s="102"/>
      <c r="F54" s="102"/>
      <c r="G54" s="108" t="s">
        <v>524</v>
      </c>
      <c r="H54" s="102">
        <f>G10+B13</f>
        <v>87550</v>
      </c>
      <c r="I54" s="102"/>
      <c r="J54" s="102"/>
      <c r="K54" s="102"/>
      <c r="L54" s="102"/>
      <c r="M54" s="102"/>
      <c r="N54" s="102"/>
      <c r="O54" s="101"/>
      <c r="P54" s="101"/>
      <c r="Q54" s="101"/>
      <c r="R54" s="101"/>
      <c r="S54" s="101"/>
      <c r="T54" s="101"/>
      <c r="U54" s="101"/>
    </row>
    <row r="55" spans="1:21" x14ac:dyDescent="0.2">
      <c r="B55" s="102"/>
      <c r="C55" s="102"/>
      <c r="D55" s="102"/>
      <c r="E55" s="102"/>
      <c r="F55" s="102"/>
      <c r="G55" s="109" t="s">
        <v>523</v>
      </c>
      <c r="H55" s="102">
        <f>G11+G42</f>
        <v>440000</v>
      </c>
      <c r="I55" s="102"/>
      <c r="J55" s="102"/>
      <c r="K55" s="102"/>
      <c r="L55" s="102"/>
      <c r="M55" s="102"/>
      <c r="N55" s="102"/>
      <c r="O55" s="101"/>
      <c r="P55" s="101"/>
      <c r="Q55" s="101"/>
      <c r="R55" s="101"/>
      <c r="S55" s="101"/>
      <c r="T55" s="101"/>
      <c r="U55" s="101"/>
    </row>
    <row r="56" spans="1:21" x14ac:dyDescent="0.2">
      <c r="A56" s="65" t="s">
        <v>522</v>
      </c>
      <c r="B56" s="102"/>
      <c r="C56" s="102"/>
      <c r="D56" s="102"/>
      <c r="E56" s="102"/>
      <c r="F56" s="102"/>
      <c r="G56" s="108" t="s">
        <v>521</v>
      </c>
      <c r="H56" s="102">
        <f>G12-B39+C39</f>
        <v>48536.371603856263</v>
      </c>
      <c r="I56" s="102"/>
      <c r="J56" s="102"/>
      <c r="K56" s="102"/>
      <c r="L56" s="102"/>
      <c r="M56" s="102"/>
      <c r="N56" s="102"/>
      <c r="O56" s="101"/>
      <c r="P56" s="101"/>
      <c r="Q56" s="101"/>
      <c r="R56" s="101"/>
      <c r="S56" s="101"/>
      <c r="T56" s="101"/>
      <c r="U56" s="101"/>
    </row>
    <row r="57" spans="1:21" x14ac:dyDescent="0.2">
      <c r="A57" s="49" t="s">
        <v>520</v>
      </c>
      <c r="B57" s="102">
        <f>E6</f>
        <v>800000</v>
      </c>
      <c r="C57" s="102"/>
      <c r="D57" s="102"/>
      <c r="G57" s="108" t="s">
        <v>519</v>
      </c>
      <c r="H57" s="107">
        <f>G13+G35</f>
        <v>174085.38875672969</v>
      </c>
      <c r="I57" s="102"/>
      <c r="J57" s="102"/>
      <c r="K57" s="102"/>
      <c r="L57" s="102"/>
      <c r="M57" s="102"/>
      <c r="N57" s="102"/>
      <c r="O57" s="101"/>
      <c r="P57" s="101"/>
      <c r="Q57" s="101"/>
      <c r="R57" s="101"/>
      <c r="S57" s="101"/>
      <c r="T57" s="101"/>
      <c r="U57" s="101"/>
    </row>
    <row r="58" spans="1:21" x14ac:dyDescent="0.2">
      <c r="A58" s="101" t="s">
        <v>518</v>
      </c>
      <c r="B58" s="102">
        <f>B23</f>
        <v>100000</v>
      </c>
      <c r="C58" s="102"/>
      <c r="D58" s="102"/>
      <c r="E58" s="105"/>
      <c r="F58" s="105"/>
      <c r="G58" s="106"/>
      <c r="H58" s="105"/>
      <c r="I58" s="102"/>
      <c r="J58" s="102"/>
      <c r="K58" s="102"/>
      <c r="L58" s="102"/>
      <c r="M58" s="102"/>
      <c r="N58" s="102"/>
      <c r="O58" s="101"/>
      <c r="P58" s="101"/>
      <c r="Q58" s="101"/>
      <c r="R58" s="101"/>
      <c r="S58" s="101"/>
      <c r="T58" s="101"/>
      <c r="U58" s="101"/>
    </row>
    <row r="59" spans="1:21" x14ac:dyDescent="0.2">
      <c r="A59" s="101" t="s">
        <v>517</v>
      </c>
      <c r="B59" s="102">
        <f>B6</f>
        <v>620000</v>
      </c>
      <c r="C59" s="102"/>
      <c r="D59" s="102"/>
      <c r="E59" s="103" t="s">
        <v>516</v>
      </c>
      <c r="F59" s="103">
        <f>SUM(F47:F58)</f>
        <v>3147500</v>
      </c>
      <c r="G59" s="104" t="s">
        <v>515</v>
      </c>
      <c r="H59" s="103">
        <f>SUM(H47:H58)</f>
        <v>3147500</v>
      </c>
      <c r="I59" s="102"/>
      <c r="J59" s="102"/>
      <c r="K59" s="102"/>
      <c r="L59" s="102"/>
      <c r="M59" s="102"/>
      <c r="N59" s="102"/>
      <c r="O59" s="101"/>
      <c r="P59" s="101"/>
      <c r="Q59" s="101"/>
      <c r="R59" s="101"/>
      <c r="S59" s="101"/>
      <c r="T59" s="101"/>
      <c r="U59" s="101"/>
    </row>
    <row r="60" spans="1:21" x14ac:dyDescent="0.2">
      <c r="A60" s="101" t="s">
        <v>218</v>
      </c>
      <c r="B60" s="102">
        <f>B57+B58-B59</f>
        <v>280000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1"/>
      <c r="P60" s="101"/>
      <c r="Q60" s="101"/>
      <c r="R60" s="101"/>
      <c r="S60" s="101"/>
      <c r="T60" s="101"/>
      <c r="U60" s="101"/>
    </row>
    <row r="61" spans="1:21" x14ac:dyDescent="0.2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1"/>
      <c r="P61" s="101"/>
      <c r="Q61" s="101"/>
      <c r="R61" s="101"/>
      <c r="S61" s="101"/>
      <c r="T61" s="101"/>
      <c r="U61" s="101"/>
    </row>
    <row r="62" spans="1:21" x14ac:dyDescent="0.2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1"/>
      <c r="P62" s="101"/>
      <c r="Q62" s="101"/>
      <c r="R62" s="101"/>
      <c r="S62" s="101"/>
      <c r="T62" s="101"/>
      <c r="U62" s="101"/>
    </row>
    <row r="63" spans="1:21" x14ac:dyDescent="0.2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1"/>
      <c r="P63" s="101"/>
      <c r="Q63" s="101"/>
      <c r="R63" s="101"/>
      <c r="S63" s="101"/>
      <c r="T63" s="101"/>
      <c r="U63" s="101"/>
    </row>
    <row r="64" spans="1:21" x14ac:dyDescent="0.2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1"/>
      <c r="P64" s="101"/>
      <c r="Q64" s="101"/>
      <c r="R64" s="101"/>
      <c r="S64" s="101"/>
      <c r="T64" s="101"/>
      <c r="U64" s="101"/>
    </row>
    <row r="65" spans="1:21" x14ac:dyDescent="0.2">
      <c r="A65" s="101"/>
      <c r="F65" s="102"/>
      <c r="G65" s="102"/>
      <c r="H65" s="102"/>
      <c r="I65" s="102"/>
      <c r="J65" s="102"/>
      <c r="K65" s="102"/>
      <c r="L65" s="102"/>
      <c r="M65" s="102"/>
      <c r="N65" s="102"/>
      <c r="O65" s="101"/>
      <c r="P65" s="101"/>
      <c r="Q65" s="101"/>
      <c r="R65" s="101"/>
      <c r="S65" s="101"/>
      <c r="T65" s="101"/>
      <c r="U65" s="101"/>
    </row>
    <row r="66" spans="1:21" x14ac:dyDescent="0.2">
      <c r="A66" s="101"/>
      <c r="F66" s="102"/>
      <c r="G66" s="102"/>
      <c r="H66" s="102"/>
      <c r="I66" s="102"/>
      <c r="J66" s="102"/>
      <c r="K66" s="102"/>
      <c r="L66" s="102"/>
      <c r="M66" s="102"/>
      <c r="N66" s="102"/>
      <c r="O66" s="101"/>
      <c r="P66" s="101"/>
      <c r="Q66" s="101"/>
      <c r="R66" s="101"/>
      <c r="S66" s="101"/>
      <c r="T66" s="101"/>
      <c r="U66" s="101"/>
    </row>
    <row r="67" spans="1:21" x14ac:dyDescent="0.2">
      <c r="A67" s="101"/>
      <c r="F67" s="102"/>
      <c r="G67" s="102"/>
      <c r="H67" s="102"/>
      <c r="I67" s="102"/>
      <c r="J67" s="102"/>
      <c r="K67" s="102"/>
      <c r="L67" s="102"/>
      <c r="M67" s="102"/>
      <c r="N67" s="102"/>
      <c r="O67" s="101"/>
      <c r="P67" s="101"/>
      <c r="Q67" s="101"/>
      <c r="R67" s="101"/>
      <c r="S67" s="101"/>
      <c r="T67" s="101"/>
      <c r="U67" s="101"/>
    </row>
    <row r="68" spans="1:21" x14ac:dyDescent="0.2">
      <c r="A68" s="101"/>
      <c r="F68" s="102"/>
      <c r="G68" s="102"/>
      <c r="H68" s="102"/>
      <c r="I68" s="102"/>
      <c r="J68" s="102"/>
      <c r="K68" s="102"/>
      <c r="L68" s="102"/>
      <c r="M68" s="102"/>
      <c r="N68" s="102"/>
      <c r="O68" s="101"/>
      <c r="P68" s="101"/>
      <c r="Q68" s="101"/>
      <c r="R68" s="101"/>
      <c r="S68" s="101"/>
      <c r="T68" s="101"/>
      <c r="U68" s="101"/>
    </row>
    <row r="69" spans="1:21" x14ac:dyDescent="0.2">
      <c r="A69" s="101"/>
      <c r="F69" s="102"/>
      <c r="G69" s="102"/>
      <c r="H69" s="102"/>
      <c r="I69" s="102"/>
      <c r="J69" s="102"/>
      <c r="K69" s="102"/>
      <c r="L69" s="102"/>
      <c r="M69" s="102"/>
      <c r="N69" s="102"/>
      <c r="O69" s="101"/>
      <c r="P69" s="101"/>
      <c r="Q69" s="101"/>
      <c r="R69" s="101"/>
      <c r="S69" s="101"/>
      <c r="T69" s="101"/>
      <c r="U69" s="101"/>
    </row>
    <row r="70" spans="1:21" x14ac:dyDescent="0.2">
      <c r="A70" s="101"/>
      <c r="F70" s="102"/>
      <c r="G70" s="102"/>
      <c r="H70" s="102"/>
      <c r="I70" s="102"/>
      <c r="J70" s="102"/>
      <c r="K70" s="102"/>
      <c r="L70" s="102"/>
      <c r="M70" s="102"/>
      <c r="N70" s="102"/>
      <c r="O70" s="101"/>
      <c r="P70" s="101"/>
      <c r="Q70" s="101"/>
      <c r="R70" s="101"/>
      <c r="S70" s="101"/>
      <c r="T70" s="101"/>
      <c r="U70" s="101"/>
    </row>
    <row r="71" spans="1:21" x14ac:dyDescent="0.2">
      <c r="A71" s="101"/>
      <c r="F71" s="102"/>
      <c r="G71" s="102"/>
      <c r="H71" s="102"/>
      <c r="I71" s="102"/>
      <c r="J71" s="102"/>
      <c r="K71" s="102"/>
      <c r="L71" s="102"/>
      <c r="M71" s="102"/>
      <c r="N71" s="102"/>
      <c r="O71" s="101"/>
      <c r="P71" s="101"/>
      <c r="Q71" s="101"/>
      <c r="R71" s="101"/>
      <c r="S71" s="101"/>
      <c r="T71" s="101"/>
      <c r="U71" s="101"/>
    </row>
    <row r="72" spans="1:21" x14ac:dyDescent="0.2">
      <c r="A72" s="101"/>
      <c r="F72" s="102"/>
      <c r="G72" s="102"/>
      <c r="H72" s="102"/>
      <c r="I72" s="102"/>
      <c r="J72" s="102"/>
      <c r="K72" s="102"/>
      <c r="L72" s="102"/>
      <c r="M72" s="102"/>
      <c r="N72" s="102"/>
      <c r="O72" s="101"/>
      <c r="P72" s="101"/>
      <c r="Q72" s="101"/>
      <c r="R72" s="101"/>
      <c r="S72" s="101"/>
      <c r="T72" s="101"/>
      <c r="U72" s="101"/>
    </row>
    <row r="73" spans="1:21" x14ac:dyDescent="0.2">
      <c r="A73" s="101"/>
      <c r="F73" s="102"/>
      <c r="G73" s="102"/>
      <c r="H73" s="102"/>
      <c r="I73" s="102"/>
      <c r="J73" s="102"/>
      <c r="K73" s="102"/>
      <c r="L73" s="102"/>
      <c r="M73" s="102"/>
      <c r="N73" s="102"/>
      <c r="O73" s="101"/>
      <c r="P73" s="101"/>
      <c r="Q73" s="101"/>
      <c r="R73" s="101"/>
      <c r="S73" s="101"/>
      <c r="T73" s="101"/>
      <c r="U73" s="101"/>
    </row>
    <row r="74" spans="1:21" x14ac:dyDescent="0.2">
      <c r="A74" s="101"/>
      <c r="F74" s="102"/>
      <c r="G74" s="102"/>
      <c r="H74" s="102"/>
      <c r="I74" s="102"/>
      <c r="J74" s="102"/>
      <c r="K74" s="102"/>
      <c r="L74" s="102"/>
      <c r="M74" s="102"/>
      <c r="N74" s="102"/>
      <c r="O74" s="101"/>
      <c r="P74" s="101"/>
      <c r="Q74" s="101"/>
      <c r="R74" s="101"/>
      <c r="S74" s="101"/>
      <c r="T74" s="101"/>
      <c r="U74" s="101"/>
    </row>
    <row r="75" spans="1:21" x14ac:dyDescent="0.2">
      <c r="A75" s="101"/>
      <c r="F75" s="102"/>
      <c r="G75" s="102"/>
      <c r="H75" s="102"/>
      <c r="I75" s="102"/>
      <c r="J75" s="102"/>
      <c r="K75" s="102"/>
      <c r="L75" s="102"/>
      <c r="M75" s="102"/>
      <c r="N75" s="102"/>
      <c r="O75" s="101"/>
      <c r="P75" s="101"/>
      <c r="Q75" s="101"/>
      <c r="R75" s="101"/>
      <c r="S75" s="101"/>
      <c r="T75" s="101"/>
      <c r="U75" s="101"/>
    </row>
    <row r="76" spans="1:21" x14ac:dyDescent="0.2">
      <c r="A76" s="101"/>
      <c r="F76" s="102"/>
      <c r="G76" s="102"/>
      <c r="H76" s="102"/>
      <c r="I76" s="102"/>
      <c r="J76" s="102"/>
      <c r="K76" s="102"/>
      <c r="L76" s="102"/>
      <c r="M76" s="102"/>
      <c r="N76" s="102"/>
      <c r="O76" s="101"/>
      <c r="P76" s="101"/>
      <c r="Q76" s="101"/>
      <c r="R76" s="101"/>
      <c r="S76" s="101"/>
      <c r="T76" s="101"/>
      <c r="U76" s="101"/>
    </row>
    <row r="77" spans="1:21" x14ac:dyDescent="0.2">
      <c r="A77" s="101"/>
      <c r="F77" s="102"/>
      <c r="G77" s="102"/>
      <c r="H77" s="102"/>
      <c r="I77" s="102"/>
      <c r="J77" s="102"/>
      <c r="K77" s="102"/>
      <c r="L77" s="102"/>
      <c r="M77" s="102"/>
      <c r="N77" s="102"/>
      <c r="O77" s="101"/>
      <c r="P77" s="101"/>
      <c r="Q77" s="101"/>
      <c r="R77" s="101"/>
      <c r="S77" s="101"/>
      <c r="T77" s="101"/>
      <c r="U77" s="101"/>
    </row>
    <row r="78" spans="1:21" x14ac:dyDescent="0.2">
      <c r="A78" s="101"/>
      <c r="F78" s="102"/>
      <c r="G78" s="102"/>
      <c r="H78" s="102"/>
      <c r="I78" s="102"/>
      <c r="J78" s="102"/>
      <c r="K78" s="102"/>
      <c r="L78" s="102"/>
      <c r="M78" s="102"/>
      <c r="N78" s="102"/>
      <c r="O78" s="101"/>
      <c r="P78" s="101"/>
      <c r="Q78" s="101"/>
      <c r="R78" s="101"/>
      <c r="S78" s="101"/>
      <c r="T78" s="101"/>
      <c r="U78" s="101"/>
    </row>
    <row r="79" spans="1:21" x14ac:dyDescent="0.2">
      <c r="A79" s="101"/>
      <c r="F79" s="102"/>
      <c r="G79" s="102"/>
      <c r="H79" s="102"/>
      <c r="I79" s="102"/>
      <c r="J79" s="102"/>
      <c r="K79" s="102"/>
      <c r="L79" s="102"/>
      <c r="M79" s="102"/>
      <c r="N79" s="102"/>
      <c r="O79" s="101"/>
      <c r="P79" s="101"/>
      <c r="Q79" s="101"/>
      <c r="R79" s="101"/>
      <c r="S79" s="101"/>
      <c r="T79" s="101"/>
      <c r="U79" s="101"/>
    </row>
    <row r="80" spans="1:21" x14ac:dyDescent="0.2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1"/>
      <c r="P80" s="101"/>
      <c r="Q80" s="101"/>
      <c r="R80" s="101"/>
      <c r="S80" s="101"/>
      <c r="T80" s="101"/>
      <c r="U80" s="101"/>
    </row>
    <row r="81" spans="1:21" x14ac:dyDescent="0.2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1"/>
      <c r="P81" s="101"/>
      <c r="Q81" s="101"/>
      <c r="R81" s="101"/>
      <c r="S81" s="101"/>
      <c r="T81" s="101"/>
      <c r="U81" s="101"/>
    </row>
    <row r="82" spans="1:21" x14ac:dyDescent="0.2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1"/>
      <c r="P82" s="101"/>
      <c r="Q82" s="101"/>
      <c r="R82" s="101"/>
      <c r="S82" s="101"/>
      <c r="T82" s="101"/>
      <c r="U82" s="101"/>
    </row>
    <row r="83" spans="1:21" x14ac:dyDescent="0.2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1"/>
      <c r="P83" s="101"/>
      <c r="Q83" s="101"/>
      <c r="R83" s="101"/>
      <c r="S83" s="101"/>
      <c r="T83" s="101"/>
      <c r="U83" s="101"/>
    </row>
    <row r="84" spans="1:21" x14ac:dyDescent="0.2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1"/>
      <c r="P84" s="101"/>
      <c r="Q84" s="101"/>
      <c r="R84" s="101"/>
      <c r="S84" s="101"/>
      <c r="T84" s="101"/>
      <c r="U84" s="101"/>
    </row>
    <row r="85" spans="1:21" x14ac:dyDescent="0.2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1"/>
      <c r="P85" s="101"/>
      <c r="Q85" s="101"/>
      <c r="R85" s="101"/>
      <c r="S85" s="101"/>
      <c r="T85" s="101"/>
      <c r="U85" s="101"/>
    </row>
    <row r="86" spans="1:21" x14ac:dyDescent="0.2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1"/>
      <c r="P86" s="101"/>
      <c r="Q86" s="101"/>
      <c r="R86" s="101"/>
      <c r="S86" s="101"/>
      <c r="T86" s="101"/>
      <c r="U86" s="101"/>
    </row>
    <row r="87" spans="1:21" x14ac:dyDescent="0.2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1"/>
      <c r="P87" s="101"/>
      <c r="Q87" s="101"/>
      <c r="R87" s="101"/>
      <c r="S87" s="101"/>
      <c r="T87" s="101"/>
      <c r="U87" s="101"/>
    </row>
    <row r="88" spans="1:21" x14ac:dyDescent="0.2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1"/>
      <c r="P88" s="101"/>
      <c r="Q88" s="101"/>
      <c r="R88" s="101"/>
      <c r="S88" s="101"/>
      <c r="T88" s="101"/>
      <c r="U88" s="101"/>
    </row>
    <row r="89" spans="1:21" x14ac:dyDescent="0.2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1"/>
      <c r="P89" s="101"/>
      <c r="Q89" s="101"/>
      <c r="R89" s="101"/>
      <c r="S89" s="101"/>
      <c r="T89" s="101"/>
      <c r="U89" s="101"/>
    </row>
    <row r="90" spans="1:21" x14ac:dyDescent="0.2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1"/>
      <c r="P90" s="101"/>
      <c r="Q90" s="101"/>
      <c r="R90" s="101"/>
      <c r="S90" s="101"/>
      <c r="T90" s="101"/>
      <c r="U90" s="101"/>
    </row>
    <row r="91" spans="1:21" x14ac:dyDescent="0.2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1"/>
      <c r="P91" s="101"/>
      <c r="Q91" s="101"/>
      <c r="R91" s="101"/>
      <c r="S91" s="101"/>
      <c r="T91" s="101"/>
      <c r="U91" s="101"/>
    </row>
    <row r="92" spans="1:21" x14ac:dyDescent="0.2">
      <c r="A92" s="101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1"/>
      <c r="P92" s="101"/>
      <c r="Q92" s="101"/>
      <c r="R92" s="101"/>
      <c r="S92" s="101"/>
      <c r="T92" s="101"/>
      <c r="U92" s="101"/>
    </row>
    <row r="93" spans="1:21" x14ac:dyDescent="0.2">
      <c r="A93" s="101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1"/>
      <c r="P93" s="101"/>
      <c r="Q93" s="101"/>
      <c r="R93" s="101"/>
      <c r="S93" s="101"/>
      <c r="T93" s="101"/>
      <c r="U93" s="101"/>
    </row>
    <row r="94" spans="1:21" x14ac:dyDescent="0.2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1"/>
      <c r="P94" s="101"/>
      <c r="Q94" s="101"/>
      <c r="R94" s="101"/>
      <c r="S94" s="101"/>
      <c r="T94" s="101"/>
      <c r="U94" s="101"/>
    </row>
    <row r="95" spans="1:21" x14ac:dyDescent="0.2">
      <c r="A95" s="101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1"/>
      <c r="P95" s="101"/>
      <c r="Q95" s="101"/>
      <c r="R95" s="101"/>
      <c r="S95" s="101"/>
      <c r="T95" s="101"/>
      <c r="U95" s="101"/>
    </row>
    <row r="96" spans="1:21" x14ac:dyDescent="0.2">
      <c r="A96" s="101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1"/>
      <c r="P96" s="101"/>
      <c r="Q96" s="101"/>
      <c r="R96" s="101"/>
      <c r="S96" s="101"/>
      <c r="T96" s="101"/>
      <c r="U96" s="101"/>
    </row>
    <row r="97" spans="1:21" x14ac:dyDescent="0.2">
      <c r="A97" s="101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1"/>
      <c r="P97" s="101"/>
      <c r="Q97" s="101"/>
      <c r="R97" s="101"/>
      <c r="S97" s="101"/>
      <c r="T97" s="101"/>
      <c r="U97" s="101"/>
    </row>
    <row r="98" spans="1:21" x14ac:dyDescent="0.2">
      <c r="A98" s="101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1"/>
      <c r="P98" s="101"/>
      <c r="Q98" s="101"/>
      <c r="R98" s="101"/>
      <c r="S98" s="101"/>
      <c r="T98" s="101"/>
      <c r="U98" s="101"/>
    </row>
    <row r="99" spans="1:21" x14ac:dyDescent="0.2">
      <c r="A99" s="101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1"/>
      <c r="P99" s="101"/>
      <c r="Q99" s="101"/>
      <c r="R99" s="101"/>
      <c r="S99" s="101"/>
      <c r="T99" s="101"/>
      <c r="U99" s="101"/>
    </row>
    <row r="100" spans="1:21" x14ac:dyDescent="0.2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1"/>
      <c r="P100" s="101"/>
      <c r="Q100" s="101"/>
      <c r="R100" s="101"/>
      <c r="S100" s="101"/>
      <c r="T100" s="101"/>
      <c r="U100" s="101"/>
    </row>
    <row r="101" spans="1:21" x14ac:dyDescent="0.2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1"/>
      <c r="P101" s="101"/>
      <c r="Q101" s="101"/>
      <c r="R101" s="101"/>
      <c r="S101" s="101"/>
      <c r="T101" s="101"/>
      <c r="U101" s="101"/>
    </row>
    <row r="102" spans="1:21" x14ac:dyDescent="0.2">
      <c r="A102" s="101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1"/>
      <c r="P102" s="101"/>
      <c r="Q102" s="101"/>
      <c r="R102" s="101"/>
      <c r="S102" s="101"/>
      <c r="T102" s="101"/>
      <c r="U102" s="101"/>
    </row>
    <row r="103" spans="1:21" x14ac:dyDescent="0.2">
      <c r="A103" s="101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1"/>
      <c r="P103" s="101"/>
      <c r="Q103" s="101"/>
      <c r="R103" s="101"/>
      <c r="S103" s="101"/>
      <c r="T103" s="101"/>
      <c r="U103" s="101"/>
    </row>
    <row r="104" spans="1:21" x14ac:dyDescent="0.2">
      <c r="A104" s="101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1"/>
      <c r="P104" s="101"/>
      <c r="Q104" s="101"/>
      <c r="R104" s="101"/>
      <c r="S104" s="101"/>
      <c r="T104" s="101"/>
      <c r="U104" s="101"/>
    </row>
    <row r="105" spans="1:21" x14ac:dyDescent="0.2">
      <c r="A105" s="101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1"/>
      <c r="P105" s="101"/>
      <c r="Q105" s="101"/>
      <c r="R105" s="101"/>
      <c r="S105" s="101"/>
      <c r="T105" s="101"/>
      <c r="U105" s="101"/>
    </row>
    <row r="106" spans="1:21" x14ac:dyDescent="0.2">
      <c r="A106" s="10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1"/>
      <c r="P106" s="101"/>
      <c r="Q106" s="101"/>
      <c r="R106" s="101"/>
      <c r="S106" s="101"/>
      <c r="T106" s="101"/>
      <c r="U106" s="101"/>
    </row>
    <row r="107" spans="1:21" x14ac:dyDescent="0.2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1"/>
      <c r="P107" s="101"/>
      <c r="Q107" s="101"/>
      <c r="R107" s="101"/>
      <c r="S107" s="101"/>
      <c r="T107" s="101"/>
      <c r="U107" s="101"/>
    </row>
    <row r="108" spans="1:21" x14ac:dyDescent="0.2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1"/>
      <c r="P108" s="101"/>
      <c r="Q108" s="101"/>
      <c r="R108" s="101"/>
      <c r="S108" s="101"/>
      <c r="T108" s="101"/>
      <c r="U108" s="101"/>
    </row>
    <row r="109" spans="1:21" x14ac:dyDescent="0.2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1"/>
      <c r="P109" s="101"/>
      <c r="Q109" s="101"/>
      <c r="R109" s="101"/>
      <c r="S109" s="101"/>
      <c r="T109" s="101"/>
      <c r="U109" s="101"/>
    </row>
    <row r="110" spans="1:21" x14ac:dyDescent="0.2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1"/>
      <c r="P110" s="101"/>
      <c r="Q110" s="101"/>
      <c r="R110" s="101"/>
      <c r="S110" s="101"/>
      <c r="T110" s="101"/>
      <c r="U110" s="101"/>
    </row>
    <row r="111" spans="1:21" x14ac:dyDescent="0.2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1"/>
      <c r="P111" s="101"/>
      <c r="Q111" s="101"/>
      <c r="R111" s="101"/>
      <c r="S111" s="101"/>
      <c r="T111" s="101"/>
      <c r="U111" s="101"/>
    </row>
    <row r="112" spans="1:21" x14ac:dyDescent="0.2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1"/>
      <c r="P112" s="101"/>
      <c r="Q112" s="101"/>
      <c r="R112" s="101"/>
      <c r="S112" s="101"/>
      <c r="T112" s="101"/>
      <c r="U112" s="101"/>
    </row>
    <row r="113" spans="1:21" x14ac:dyDescent="0.2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1"/>
      <c r="P113" s="101"/>
      <c r="Q113" s="101"/>
      <c r="R113" s="101"/>
      <c r="S113" s="101"/>
      <c r="T113" s="101"/>
      <c r="U113" s="101"/>
    </row>
    <row r="114" spans="1:21" x14ac:dyDescent="0.2">
      <c r="A114" s="101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1"/>
      <c r="P114" s="101"/>
      <c r="Q114" s="101"/>
      <c r="R114" s="101"/>
      <c r="S114" s="101"/>
      <c r="T114" s="101"/>
      <c r="U114" s="101"/>
    </row>
    <row r="115" spans="1:21" x14ac:dyDescent="0.2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1"/>
      <c r="P115" s="101"/>
      <c r="Q115" s="101"/>
      <c r="R115" s="101"/>
      <c r="S115" s="101"/>
      <c r="T115" s="101"/>
      <c r="U115" s="101"/>
    </row>
    <row r="116" spans="1:21" x14ac:dyDescent="0.2">
      <c r="A116" s="101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1"/>
      <c r="P116" s="101"/>
      <c r="Q116" s="101"/>
      <c r="R116" s="101"/>
      <c r="S116" s="101"/>
      <c r="T116" s="101"/>
      <c r="U116" s="101"/>
    </row>
    <row r="117" spans="1:21" x14ac:dyDescent="0.2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1"/>
      <c r="P117" s="101"/>
      <c r="Q117" s="101"/>
      <c r="R117" s="101"/>
      <c r="S117" s="101"/>
      <c r="T117" s="101"/>
      <c r="U117" s="101"/>
    </row>
    <row r="118" spans="1:21" x14ac:dyDescent="0.2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1"/>
      <c r="P118" s="101"/>
      <c r="Q118" s="101"/>
      <c r="R118" s="101"/>
      <c r="S118" s="101"/>
      <c r="T118" s="101"/>
      <c r="U118" s="101"/>
    </row>
    <row r="119" spans="1:21" x14ac:dyDescent="0.2">
      <c r="A119" s="101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1"/>
      <c r="P119" s="101"/>
      <c r="Q119" s="101"/>
      <c r="R119" s="101"/>
      <c r="S119" s="101"/>
      <c r="T119" s="101"/>
      <c r="U119" s="101"/>
    </row>
    <row r="120" spans="1:21" x14ac:dyDescent="0.2">
      <c r="A120" s="101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1"/>
      <c r="P120" s="101"/>
      <c r="Q120" s="101"/>
      <c r="R120" s="101"/>
      <c r="S120" s="101"/>
      <c r="T120" s="101"/>
      <c r="U120" s="101"/>
    </row>
    <row r="121" spans="1:21" x14ac:dyDescent="0.2">
      <c r="A121" s="101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1"/>
      <c r="P121" s="101"/>
      <c r="Q121" s="101"/>
      <c r="R121" s="101"/>
      <c r="S121" s="101"/>
      <c r="T121" s="101"/>
      <c r="U121" s="101"/>
    </row>
    <row r="122" spans="1:21" x14ac:dyDescent="0.2">
      <c r="A122" s="101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1"/>
      <c r="P122" s="101"/>
      <c r="Q122" s="101"/>
      <c r="R122" s="101"/>
      <c r="S122" s="101"/>
      <c r="T122" s="101"/>
      <c r="U122" s="101"/>
    </row>
    <row r="123" spans="1:21" x14ac:dyDescent="0.2">
      <c r="A123" s="101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1"/>
      <c r="P123" s="101"/>
      <c r="Q123" s="101"/>
      <c r="R123" s="101"/>
      <c r="S123" s="101"/>
      <c r="T123" s="101"/>
      <c r="U123" s="101"/>
    </row>
    <row r="124" spans="1:21" x14ac:dyDescent="0.2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1"/>
      <c r="P124" s="101"/>
      <c r="Q124" s="101"/>
      <c r="R124" s="101"/>
      <c r="S124" s="101"/>
      <c r="T124" s="101"/>
      <c r="U124" s="101"/>
    </row>
    <row r="125" spans="1:21" x14ac:dyDescent="0.2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1"/>
      <c r="P125" s="101"/>
      <c r="Q125" s="101"/>
      <c r="R125" s="101"/>
      <c r="S125" s="101"/>
      <c r="T125" s="101"/>
      <c r="U125" s="101"/>
    </row>
    <row r="126" spans="1:21" x14ac:dyDescent="0.2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1"/>
      <c r="P126" s="101"/>
      <c r="Q126" s="101"/>
      <c r="R126" s="101"/>
      <c r="S126" s="101"/>
      <c r="T126" s="101"/>
      <c r="U126" s="101"/>
    </row>
    <row r="127" spans="1:21" x14ac:dyDescent="0.2">
      <c r="A127" s="101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1"/>
      <c r="P127" s="101"/>
      <c r="Q127" s="101"/>
      <c r="R127" s="101"/>
      <c r="S127" s="101"/>
      <c r="T127" s="101"/>
      <c r="U127" s="101"/>
    </row>
    <row r="128" spans="1:21" x14ac:dyDescent="0.2">
      <c r="A128" s="101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1"/>
      <c r="P128" s="101"/>
      <c r="Q128" s="101"/>
      <c r="R128" s="101"/>
      <c r="S128" s="101"/>
      <c r="T128" s="101"/>
      <c r="U128" s="101"/>
    </row>
    <row r="129" spans="1:21" x14ac:dyDescent="0.2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1"/>
      <c r="P129" s="101"/>
      <c r="Q129" s="101"/>
      <c r="R129" s="101"/>
      <c r="S129" s="101"/>
      <c r="T129" s="101"/>
      <c r="U129" s="101"/>
    </row>
    <row r="130" spans="1:21" x14ac:dyDescent="0.2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1"/>
      <c r="P130" s="101"/>
      <c r="Q130" s="101"/>
      <c r="R130" s="101"/>
      <c r="S130" s="101"/>
      <c r="T130" s="101"/>
      <c r="U130" s="101"/>
    </row>
    <row r="131" spans="1:21" x14ac:dyDescent="0.2">
      <c r="A131" s="101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1"/>
      <c r="P131" s="101"/>
      <c r="Q131" s="101"/>
      <c r="R131" s="101"/>
      <c r="S131" s="101"/>
      <c r="T131" s="101"/>
      <c r="U131" s="101"/>
    </row>
    <row r="132" spans="1:21" x14ac:dyDescent="0.2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1:21" x14ac:dyDescent="0.2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1:21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1:21" x14ac:dyDescent="0.2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1:21" x14ac:dyDescent="0.2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1:21" x14ac:dyDescent="0.2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1:21" x14ac:dyDescent="0.2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1:21" x14ac:dyDescent="0.2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1:21" x14ac:dyDescent="0.2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 x14ac:dyDescent="0.2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1:21" x14ac:dyDescent="0.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1:21" x14ac:dyDescent="0.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1:21" x14ac:dyDescent="0.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1:21" x14ac:dyDescent="0.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1:21" x14ac:dyDescent="0.2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1:21" x14ac:dyDescent="0.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1:21" x14ac:dyDescent="0.2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1:21" x14ac:dyDescent="0.2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1:21" x14ac:dyDescent="0.2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1:21" x14ac:dyDescent="0.2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16.11</vt:lpstr>
      <vt:lpstr>16.12</vt:lpstr>
      <vt:lpstr>16.14</vt:lpstr>
      <vt:lpstr>16.16</vt:lpstr>
      <vt:lpstr>16.17</vt:lpstr>
      <vt:lpstr>16.18</vt:lpstr>
      <vt:lpstr>16.19</vt:lpstr>
      <vt:lpstr>16.21</vt:lpstr>
    </vt:vector>
  </TitlesOfParts>
  <Company>Høgskolen i Nord-Trøndelag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Helbæk Morten</dc:creator>
  <cp:lastModifiedBy>Helbæk Morten</cp:lastModifiedBy>
  <dcterms:created xsi:type="dcterms:W3CDTF">2015-07-16T08:16:30Z</dcterms:created>
  <dcterms:modified xsi:type="dcterms:W3CDTF">2015-07-19T18:12:23Z</dcterms:modified>
</cp:coreProperties>
</file>