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v_DB_Hoff\D&amp;B_arb.bok\Regneark_DB_ArbBok\"/>
    </mc:Choice>
  </mc:AlternateContent>
  <bookViews>
    <workbookView xWindow="0" yWindow="0" windowWidth="13005" windowHeight="10740"/>
  </bookViews>
  <sheets>
    <sheet name="15.12" sheetId="1" r:id="rId1"/>
    <sheet name="15.13" sheetId="2" r:id="rId2"/>
    <sheet name="15.14" sheetId="3" r:id="rId3"/>
    <sheet name="15.15" sheetId="5" r:id="rId4"/>
    <sheet name="15.16" sheetId="6" r:id="rId5"/>
    <sheet name="15.18" sheetId="7" r:id="rId6"/>
    <sheet name="15.20" sheetId="8" r:id="rId7"/>
    <sheet name="15.21" sheetId="9" r:id="rId8"/>
    <sheet name="15.23" sheetId="10" r:id="rId9"/>
    <sheet name="15.24" sheetId="11" r:id="rId10"/>
    <sheet name="15.25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2" l="1"/>
  <c r="D28" i="12"/>
  <c r="C28" i="12"/>
  <c r="B28" i="12"/>
  <c r="E62" i="12"/>
  <c r="E61" i="12"/>
  <c r="C61" i="12"/>
  <c r="D61" i="12"/>
  <c r="C62" i="12"/>
  <c r="D62" i="12"/>
  <c r="B62" i="12"/>
  <c r="B61" i="12"/>
  <c r="E54" i="12"/>
  <c r="E55" i="12"/>
  <c r="E56" i="12"/>
  <c r="E57" i="12"/>
  <c r="E58" i="12"/>
  <c r="C56" i="12"/>
  <c r="D56" i="12"/>
  <c r="C57" i="12"/>
  <c r="D57" i="12"/>
  <c r="C58" i="12"/>
  <c r="D58" i="12"/>
  <c r="B58" i="12"/>
  <c r="B57" i="12"/>
  <c r="B56" i="12"/>
  <c r="E52" i="12"/>
  <c r="E53" i="12"/>
  <c r="C53" i="12"/>
  <c r="D53" i="12"/>
  <c r="C54" i="12"/>
  <c r="D54" i="12"/>
  <c r="C55" i="12"/>
  <c r="D55" i="12"/>
  <c r="B55" i="12"/>
  <c r="B54" i="12"/>
  <c r="B53" i="12"/>
  <c r="C52" i="12"/>
  <c r="D52" i="12"/>
  <c r="B52" i="12"/>
  <c r="E51" i="12"/>
  <c r="C51" i="12"/>
  <c r="D51" i="12"/>
  <c r="B51" i="12"/>
  <c r="C50" i="12"/>
  <c r="D50" i="12"/>
  <c r="E50" i="12"/>
  <c r="B50" i="12"/>
  <c r="C49" i="12"/>
  <c r="D49" i="12"/>
  <c r="E49" i="12"/>
  <c r="B49" i="12"/>
  <c r="C45" i="12" l="1"/>
  <c r="D45" i="12"/>
  <c r="E45" i="12"/>
  <c r="B45" i="12"/>
  <c r="E37" i="12"/>
  <c r="B37" i="12"/>
  <c r="A32" i="12"/>
  <c r="A31" i="12"/>
  <c r="C30" i="12"/>
  <c r="D30" i="12"/>
  <c r="E30" i="12"/>
  <c r="B30" i="12"/>
  <c r="C27" i="12"/>
  <c r="C32" i="12" s="1"/>
  <c r="D27" i="12"/>
  <c r="D32" i="12" s="1"/>
  <c r="E27" i="12"/>
  <c r="E32" i="12" s="1"/>
  <c r="B27" i="12"/>
  <c r="B32" i="12" s="1"/>
  <c r="E26" i="12"/>
  <c r="C25" i="12"/>
  <c r="D25" i="12"/>
  <c r="E25" i="12"/>
  <c r="B25" i="12"/>
  <c r="D23" i="12"/>
  <c r="D31" i="12" s="1"/>
  <c r="D38" i="12" s="1"/>
  <c r="E18" i="12"/>
  <c r="C22" i="12"/>
  <c r="C23" i="12" s="1"/>
  <c r="C31" i="12" s="1"/>
  <c r="C38" i="12" s="1"/>
  <c r="D22" i="12"/>
  <c r="B22" i="12"/>
  <c r="B23" i="12" s="1"/>
  <c r="B31" i="12" s="1"/>
  <c r="C21" i="12"/>
  <c r="C37" i="12" s="1"/>
  <c r="D21" i="12"/>
  <c r="D37" i="12" s="1"/>
  <c r="E21" i="12"/>
  <c r="B21" i="12"/>
  <c r="B11" i="12"/>
  <c r="H21" i="11"/>
  <c r="H22" i="11"/>
  <c r="H23" i="11"/>
  <c r="H24" i="11"/>
  <c r="H25" i="11"/>
  <c r="H26" i="11"/>
  <c r="H27" i="11"/>
  <c r="H28" i="11"/>
  <c r="H29" i="11"/>
  <c r="H20" i="11"/>
  <c r="C29" i="11"/>
  <c r="D29" i="11"/>
  <c r="E29" i="11"/>
  <c r="F29" i="11"/>
  <c r="G29" i="11"/>
  <c r="B29" i="11"/>
  <c r="C28" i="11"/>
  <c r="D28" i="11"/>
  <c r="E28" i="11"/>
  <c r="F28" i="11"/>
  <c r="G28" i="11"/>
  <c r="B28" i="11"/>
  <c r="C27" i="11"/>
  <c r="D27" i="11"/>
  <c r="E27" i="11"/>
  <c r="F27" i="11"/>
  <c r="G27" i="11"/>
  <c r="B27" i="11"/>
  <c r="C23" i="11"/>
  <c r="D23" i="11"/>
  <c r="E23" i="11"/>
  <c r="F23" i="11"/>
  <c r="G23" i="11"/>
  <c r="C24" i="11"/>
  <c r="D24" i="11"/>
  <c r="E24" i="11"/>
  <c r="F24" i="11"/>
  <c r="G24" i="11"/>
  <c r="C25" i="11"/>
  <c r="D25" i="11"/>
  <c r="E25" i="11"/>
  <c r="F25" i="11"/>
  <c r="G25" i="11"/>
  <c r="C26" i="11"/>
  <c r="D26" i="11"/>
  <c r="E26" i="11"/>
  <c r="F26" i="11"/>
  <c r="G26" i="11"/>
  <c r="B26" i="11"/>
  <c r="B25" i="11"/>
  <c r="B24" i="11"/>
  <c r="B23" i="11"/>
  <c r="C22" i="11"/>
  <c r="D22" i="11"/>
  <c r="E22" i="11"/>
  <c r="F22" i="11"/>
  <c r="G22" i="11"/>
  <c r="B22" i="11"/>
  <c r="C21" i="11"/>
  <c r="D21" i="11"/>
  <c r="E21" i="11"/>
  <c r="F21" i="11"/>
  <c r="G21" i="11"/>
  <c r="B21" i="11"/>
  <c r="C20" i="11"/>
  <c r="D20" i="11"/>
  <c r="E20" i="11"/>
  <c r="F20" i="11"/>
  <c r="G20" i="11"/>
  <c r="B20" i="11"/>
  <c r="A21" i="11"/>
  <c r="A22" i="11"/>
  <c r="A23" i="11"/>
  <c r="A24" i="11"/>
  <c r="A25" i="11"/>
  <c r="A26" i="11"/>
  <c r="A27" i="11"/>
  <c r="A28" i="11"/>
  <c r="A29" i="11"/>
  <c r="A20" i="11"/>
  <c r="B38" i="10"/>
  <c r="B37" i="10"/>
  <c r="B36" i="10"/>
  <c r="B32" i="10"/>
  <c r="B31" i="10"/>
  <c r="B30" i="10"/>
  <c r="A20" i="10"/>
  <c r="B29" i="10"/>
  <c r="B28" i="10"/>
  <c r="A29" i="10"/>
  <c r="A28" i="10"/>
  <c r="B27" i="10"/>
  <c r="B26" i="10"/>
  <c r="B25" i="10"/>
  <c r="B24" i="10"/>
  <c r="B21" i="10"/>
  <c r="B22" i="10"/>
  <c r="B23" i="10"/>
  <c r="A21" i="10"/>
  <c r="A22" i="10"/>
  <c r="A23" i="10"/>
  <c r="B20" i="10"/>
  <c r="B19" i="10"/>
  <c r="B38" i="12" l="1"/>
  <c r="B39" i="12"/>
  <c r="B33" i="12"/>
  <c r="B34" i="12" s="1"/>
  <c r="B43" i="12" s="1"/>
  <c r="B41" i="12"/>
  <c r="B40" i="12"/>
  <c r="E41" i="12"/>
  <c r="E40" i="12"/>
  <c r="E39" i="12"/>
  <c r="D41" i="12"/>
  <c r="D40" i="12"/>
  <c r="D39" i="12"/>
  <c r="D33" i="12"/>
  <c r="D34" i="12" s="1"/>
  <c r="D43" i="12" s="1"/>
  <c r="C33" i="12"/>
  <c r="C34" i="12" s="1"/>
  <c r="C43" i="12" s="1"/>
  <c r="C40" i="12"/>
  <c r="C39" i="12"/>
  <c r="C41" i="12"/>
  <c r="E22" i="12"/>
  <c r="E23" i="12" s="1"/>
  <c r="E31" i="12" s="1"/>
  <c r="E38" i="12" s="1"/>
  <c r="E36" i="9"/>
  <c r="E35" i="9"/>
  <c r="B36" i="9"/>
  <c r="D35" i="9"/>
  <c r="C34" i="9"/>
  <c r="D34" i="9"/>
  <c r="B34" i="9"/>
  <c r="E33" i="9"/>
  <c r="D32" i="9"/>
  <c r="E30" i="9"/>
  <c r="B29" i="9"/>
  <c r="E27" i="9"/>
  <c r="D26" i="9"/>
  <c r="C24" i="9"/>
  <c r="D24" i="9"/>
  <c r="B24" i="9"/>
  <c r="C23" i="9"/>
  <c r="D23" i="9"/>
  <c r="B23" i="9"/>
  <c r="C20" i="9"/>
  <c r="D20" i="9"/>
  <c r="B20" i="9"/>
  <c r="C19" i="9"/>
  <c r="D19" i="9"/>
  <c r="B19" i="9"/>
  <c r="C17" i="9"/>
  <c r="C16" i="9"/>
  <c r="C18" i="9" s="1"/>
  <c r="D16" i="9"/>
  <c r="D17" i="9" s="1"/>
  <c r="C15" i="9"/>
  <c r="D15" i="9"/>
  <c r="B15" i="9"/>
  <c r="B16" i="9" s="1"/>
  <c r="B7" i="9"/>
  <c r="E53" i="8"/>
  <c r="B53" i="8"/>
  <c r="C52" i="8"/>
  <c r="D52" i="8"/>
  <c r="E52" i="8"/>
  <c r="B52" i="8"/>
  <c r="C50" i="8"/>
  <c r="D55" i="8" s="1"/>
  <c r="D50" i="8"/>
  <c r="D56" i="8" s="1"/>
  <c r="E56" i="8" s="1"/>
  <c r="E50" i="8"/>
  <c r="B50" i="8"/>
  <c r="C54" i="8" s="1"/>
  <c r="E49" i="8"/>
  <c r="C49" i="8"/>
  <c r="D49" i="8"/>
  <c r="B49" i="8"/>
  <c r="E48" i="8"/>
  <c r="C48" i="8"/>
  <c r="D48" i="8"/>
  <c r="B48" i="8"/>
  <c r="C46" i="8"/>
  <c r="D46" i="8"/>
  <c r="B46" i="8"/>
  <c r="D47" i="8"/>
  <c r="C47" i="8"/>
  <c r="B47" i="8"/>
  <c r="E45" i="8"/>
  <c r="C45" i="8"/>
  <c r="D45" i="8"/>
  <c r="B45" i="8"/>
  <c r="C44" i="8"/>
  <c r="D44" i="8"/>
  <c r="E44" i="8"/>
  <c r="B44" i="8"/>
  <c r="C41" i="8"/>
  <c r="D41" i="8"/>
  <c r="E41" i="8"/>
  <c r="B41" i="8"/>
  <c r="B40" i="8"/>
  <c r="D40" i="8"/>
  <c r="E40" i="8"/>
  <c r="C40" i="8"/>
  <c r="E39" i="8"/>
  <c r="E38" i="8"/>
  <c r="C39" i="8"/>
  <c r="D39" i="8"/>
  <c r="B39" i="8"/>
  <c r="B38" i="8"/>
  <c r="C38" i="8"/>
  <c r="D38" i="8"/>
  <c r="A38" i="8"/>
  <c r="D33" i="8"/>
  <c r="E33" i="8" s="1"/>
  <c r="D32" i="8"/>
  <c r="C32" i="8"/>
  <c r="C31" i="8"/>
  <c r="B31" i="8"/>
  <c r="E31" i="8" s="1"/>
  <c r="B30" i="8"/>
  <c r="E30" i="8" s="1"/>
  <c r="C28" i="8"/>
  <c r="D28" i="8"/>
  <c r="E28" i="8"/>
  <c r="B28" i="8"/>
  <c r="E27" i="8"/>
  <c r="D27" i="8"/>
  <c r="C27" i="8"/>
  <c r="B27" i="8"/>
  <c r="E42" i="12" l="1"/>
  <c r="D42" i="12"/>
  <c r="E44" i="12"/>
  <c r="E46" i="12" s="1"/>
  <c r="E47" i="12" s="1"/>
  <c r="E59" i="12" s="1"/>
  <c r="E63" i="12" s="1"/>
  <c r="C42" i="12"/>
  <c r="C44" i="12" s="1"/>
  <c r="C46" i="12" s="1"/>
  <c r="C47" i="12" s="1"/>
  <c r="C59" i="12" s="1"/>
  <c r="C63" i="12" s="1"/>
  <c r="E33" i="12"/>
  <c r="E34" i="12" s="1"/>
  <c r="E43" i="12" s="1"/>
  <c r="B42" i="12"/>
  <c r="B44" i="12" s="1"/>
  <c r="B46" i="12" s="1"/>
  <c r="B47" i="12" s="1"/>
  <c r="B59" i="12" s="1"/>
  <c r="B63" i="12" s="1"/>
  <c r="D44" i="12"/>
  <c r="D46" i="12" s="1"/>
  <c r="D47" i="12" s="1"/>
  <c r="D59" i="12" s="1"/>
  <c r="D63" i="12" s="1"/>
  <c r="B17" i="9"/>
  <c r="B18" i="9"/>
  <c r="D18" i="9"/>
  <c r="C34" i="8"/>
  <c r="B54" i="8"/>
  <c r="E54" i="8" s="1"/>
  <c r="D57" i="8"/>
  <c r="B57" i="8"/>
  <c r="E32" i="8"/>
  <c r="E34" i="8" s="1"/>
  <c r="D34" i="8"/>
  <c r="C55" i="8"/>
  <c r="E55" i="8" s="1"/>
  <c r="E57" i="8" s="1"/>
  <c r="B34" i="8"/>
  <c r="B54" i="7"/>
  <c r="B53" i="7"/>
  <c r="B51" i="7"/>
  <c r="B50" i="7"/>
  <c r="B47" i="7"/>
  <c r="B43" i="7"/>
  <c r="B42" i="7"/>
  <c r="B41" i="7"/>
  <c r="B40" i="7"/>
  <c r="A40" i="7"/>
  <c r="B37" i="7"/>
  <c r="B36" i="7"/>
  <c r="B35" i="7"/>
  <c r="B34" i="7"/>
  <c r="C31" i="7"/>
  <c r="B31" i="7"/>
  <c r="C30" i="7"/>
  <c r="B30" i="7"/>
  <c r="A30" i="7"/>
  <c r="C29" i="7"/>
  <c r="B29" i="7"/>
  <c r="C28" i="7"/>
  <c r="B28" i="7"/>
  <c r="A28" i="7"/>
  <c r="C27" i="7"/>
  <c r="B27" i="7"/>
  <c r="B7" i="7"/>
  <c r="C34" i="6"/>
  <c r="D34" i="6"/>
  <c r="E34" i="6"/>
  <c r="F34" i="6"/>
  <c r="D33" i="6"/>
  <c r="E33" i="6"/>
  <c r="F33" i="6"/>
  <c r="C33" i="6"/>
  <c r="B33" i="6"/>
  <c r="A33" i="6"/>
  <c r="A32" i="6"/>
  <c r="C21" i="6"/>
  <c r="D21" i="6"/>
  <c r="B21" i="6"/>
  <c r="B20" i="6"/>
  <c r="A20" i="6"/>
  <c r="A21" i="6"/>
  <c r="A19" i="6"/>
  <c r="B7" i="6"/>
  <c r="B8" i="6" s="1"/>
  <c r="I14" i="5"/>
  <c r="I9" i="5"/>
  <c r="I10" i="5"/>
  <c r="I11" i="5"/>
  <c r="I12" i="5"/>
  <c r="I13" i="5"/>
  <c r="I8" i="5"/>
  <c r="H9" i="5"/>
  <c r="H10" i="5"/>
  <c r="H11" i="5"/>
  <c r="H12" i="5"/>
  <c r="H13" i="5"/>
  <c r="H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G8" i="5"/>
  <c r="F8" i="5"/>
  <c r="E8" i="5"/>
  <c r="C14" i="5"/>
  <c r="D14" i="5"/>
  <c r="B14" i="5"/>
  <c r="D5" i="3"/>
  <c r="D6" i="3"/>
  <c r="D7" i="3"/>
  <c r="D8" i="3"/>
  <c r="D9" i="3"/>
  <c r="D10" i="3"/>
  <c r="D11" i="3"/>
  <c r="D12" i="3"/>
  <c r="D13" i="3"/>
  <c r="D4" i="3"/>
  <c r="B17" i="3"/>
  <c r="B16" i="3"/>
  <c r="B11" i="2"/>
  <c r="C6" i="2"/>
  <c r="C7" i="2"/>
  <c r="C8" i="2"/>
  <c r="C5" i="2"/>
  <c r="B86" i="1"/>
  <c r="B85" i="1"/>
  <c r="B84" i="1"/>
  <c r="B83" i="1"/>
  <c r="B82" i="1"/>
  <c r="B81" i="1"/>
  <c r="B80" i="1"/>
  <c r="B79" i="1"/>
  <c r="B78" i="1"/>
  <c r="B77" i="1"/>
  <c r="B76" i="1"/>
  <c r="B74" i="1"/>
  <c r="B71" i="1"/>
  <c r="B70" i="1"/>
  <c r="C57" i="8" l="1"/>
  <c r="E30" i="6"/>
  <c r="E32" i="6" s="1"/>
  <c r="E17" i="6"/>
  <c r="D30" i="6"/>
  <c r="D32" i="6" s="1"/>
  <c r="B17" i="6"/>
  <c r="C30" i="6"/>
  <c r="C32" i="6" s="1"/>
  <c r="C17" i="6"/>
  <c r="B30" i="6"/>
  <c r="B32" i="6" s="1"/>
  <c r="D17" i="6"/>
  <c r="B67" i="1"/>
  <c r="B66" i="1"/>
  <c r="B65" i="1"/>
  <c r="B64" i="1"/>
  <c r="B60" i="1"/>
  <c r="B59" i="1"/>
  <c r="B57" i="1"/>
  <c r="B55" i="1"/>
  <c r="C52" i="1"/>
  <c r="B52" i="1"/>
  <c r="C51" i="1"/>
  <c r="B51" i="1"/>
  <c r="B50" i="1"/>
  <c r="C49" i="1"/>
  <c r="C50" i="1" s="1"/>
  <c r="B49" i="1"/>
  <c r="C48" i="1"/>
  <c r="B48" i="1"/>
  <c r="C46" i="1"/>
  <c r="B46" i="1"/>
  <c r="B45" i="1"/>
  <c r="C45" i="1"/>
  <c r="C44" i="1"/>
  <c r="B44" i="1"/>
  <c r="C42" i="1"/>
  <c r="B42" i="1"/>
  <c r="C41" i="1"/>
  <c r="C40" i="1"/>
  <c r="B41" i="1"/>
  <c r="B40" i="1"/>
  <c r="C38" i="1"/>
  <c r="B38" i="1"/>
  <c r="C37" i="1"/>
  <c r="B37" i="1"/>
  <c r="C36" i="1"/>
  <c r="B36" i="1"/>
  <c r="C35" i="1"/>
  <c r="B35" i="1"/>
  <c r="B31" i="1"/>
  <c r="D19" i="6" l="1"/>
  <c r="E20" i="6"/>
  <c r="C20" i="6"/>
  <c r="E21" i="6"/>
  <c r="B19" i="6"/>
  <c r="B22" i="6" s="1"/>
  <c r="B34" i="6"/>
  <c r="F21" i="6"/>
  <c r="D20" i="6"/>
  <c r="C19" i="6"/>
  <c r="F20" i="6"/>
  <c r="E19" i="6"/>
  <c r="E22" i="6" l="1"/>
  <c r="F22" i="6"/>
  <c r="C22" i="6"/>
  <c r="D22" i="6"/>
</calcChain>
</file>

<file path=xl/sharedStrings.xml><?xml version="1.0" encoding="utf-8"?>
<sst xmlns="http://schemas.openxmlformats.org/spreadsheetml/2006/main" count="445" uniqueCount="342">
  <si>
    <t>Oppgave 15.12</t>
  </si>
  <si>
    <t>Direkte materialer</t>
  </si>
  <si>
    <t>Sponplater</t>
  </si>
  <si>
    <t>Lakkert eik</t>
  </si>
  <si>
    <t>Filt</t>
  </si>
  <si>
    <t>Kapping og montering</t>
  </si>
  <si>
    <t>Legge filt</t>
  </si>
  <si>
    <t>Varelager:</t>
  </si>
  <si>
    <t>UB 20x5</t>
  </si>
  <si>
    <t>Målsatt UB 20x6</t>
  </si>
  <si>
    <t>Sponplater (i løpemeter)</t>
  </si>
  <si>
    <t>Lakkert eik (i løpemeter)</t>
  </si>
  <si>
    <t>Filt (antall)</t>
  </si>
  <si>
    <t>Ferdige pokerbord (antall)</t>
  </si>
  <si>
    <t>Salgsinformasjon</t>
  </si>
  <si>
    <t>Solgt i 20x5</t>
  </si>
  <si>
    <t>Budsjettert salg 20x6</t>
  </si>
  <si>
    <t>Antall enheter</t>
  </si>
  <si>
    <t>Indirekte kostnader (20x6)</t>
  </si>
  <si>
    <t>Variable</t>
  </si>
  <si>
    <t>Faste</t>
  </si>
  <si>
    <t>Indirekte var materialkostn.</t>
  </si>
  <si>
    <t>Indirekte var tilvirkn.kostn</t>
  </si>
  <si>
    <t>Salg og adm. kostn</t>
  </si>
  <si>
    <t>Avskrivninger</t>
  </si>
  <si>
    <t>Budsjettert 20x6</t>
  </si>
  <si>
    <t>Maskiner</t>
  </si>
  <si>
    <t>Standard mengde per bord</t>
  </si>
  <si>
    <t>Standardpris (20x5)</t>
  </si>
  <si>
    <t>Standard tid per bord</t>
  </si>
  <si>
    <t>Standard lønnssats per time</t>
  </si>
  <si>
    <t>Forventet timekostnad  20x6</t>
  </si>
  <si>
    <t xml:space="preserve"> løpemeter</t>
  </si>
  <si>
    <t xml:space="preserve"> kr/meter</t>
  </si>
  <si>
    <t xml:space="preserve"> (ferdig kappet)</t>
  </si>
  <si>
    <t>1 stykke à 1,5m · 1,5m</t>
  </si>
  <si>
    <t xml:space="preserve"> time</t>
  </si>
  <si>
    <t>Direkte Lønnskostnader</t>
  </si>
  <si>
    <t xml:space="preserve"> kr/stykke</t>
  </si>
  <si>
    <t>Standard pris</t>
  </si>
  <si>
    <t xml:space="preserve"> av direkte  materialkostnader</t>
  </si>
  <si>
    <r>
      <t>per time direkte lønn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</si>
  <si>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av salgsinntekter</t>
  </si>
  <si>
    <t xml:space="preserve"> a) Budsjetterte salgsinntektene for 20x6:.</t>
  </si>
  <si>
    <t>Direkte materialer:</t>
  </si>
  <si>
    <t xml:space="preserve">  Spon</t>
  </si>
  <si>
    <t xml:space="preserve">  Lakkert Eik</t>
  </si>
  <si>
    <t xml:space="preserve">  Filt</t>
  </si>
  <si>
    <t>Direkte lønn:</t>
  </si>
  <si>
    <t xml:space="preserve">  Kapping og montering</t>
  </si>
  <si>
    <t xml:space="preserve">  Legge filt</t>
  </si>
  <si>
    <t>Materialavdeling</t>
  </si>
  <si>
    <t>Tilvirkningsavdeling</t>
  </si>
  <si>
    <t>Salgsmerkost</t>
  </si>
  <si>
    <t>Salgspris</t>
  </si>
  <si>
    <t>Dekningsbidrag</t>
  </si>
  <si>
    <t xml:space="preserve">b) </t>
  </si>
  <si>
    <t>20x5</t>
  </si>
  <si>
    <t>20x6</t>
  </si>
  <si>
    <t>Indir var tilv.kostn</t>
  </si>
  <si>
    <t>Standard tilv.merkost</t>
  </si>
  <si>
    <t>Var salg- og adm. kostn</t>
  </si>
  <si>
    <t>Forventet prisøkning   20x6</t>
  </si>
  <si>
    <t xml:space="preserve">   1)  Har økt med </t>
  </si>
  <si>
    <t xml:space="preserve"> siden 20x5</t>
  </si>
  <si>
    <t xml:space="preserve"> c) Budsj produksjon:</t>
  </si>
  <si>
    <t xml:space="preserve"> pokerbord</t>
  </si>
  <si>
    <t xml:space="preserve"> timer</t>
  </si>
  <si>
    <t xml:space="preserve">   Antall årsverk:</t>
  </si>
  <si>
    <t xml:space="preserve">    Et årsverk</t>
  </si>
  <si>
    <t xml:space="preserve"> d) Timebehov:</t>
  </si>
  <si>
    <t xml:space="preserve">   Budsj lønnskostnader:</t>
  </si>
  <si>
    <t xml:space="preserve"> e) </t>
  </si>
  <si>
    <t>Budsjettert innkjøp:</t>
  </si>
  <si>
    <t>Spon</t>
  </si>
  <si>
    <t xml:space="preserve"> enheter</t>
  </si>
  <si>
    <t xml:space="preserve"> Innkjøpsbudsjett:</t>
  </si>
  <si>
    <t xml:space="preserve"> f)</t>
  </si>
  <si>
    <t>Direkte lønnskostnader:</t>
  </si>
  <si>
    <t>Indirekte var tilv.kostnader:</t>
  </si>
  <si>
    <t xml:space="preserve"> g)</t>
  </si>
  <si>
    <t>Driftsinntekter</t>
  </si>
  <si>
    <t>Direkte lønn</t>
  </si>
  <si>
    <t>Indir. var. tilv.kostn.</t>
  </si>
  <si>
    <t>Periodens tilvirkn.merkost</t>
  </si>
  <si>
    <t xml:space="preserve">Beh.endring ferdigv. 1 </t>
  </si>
  <si>
    <t>Var. salgs- og adm.kostn.</t>
  </si>
  <si>
    <t>Salgsmerkost solgte varer</t>
  </si>
  <si>
    <t>Faste kostnader</t>
  </si>
  <si>
    <t>Budsjettert driftsresultat</t>
  </si>
  <si>
    <t>Oppgave 15.13</t>
  </si>
  <si>
    <t>År</t>
  </si>
  <si>
    <t>20x1</t>
  </si>
  <si>
    <t>20x2</t>
  </si>
  <si>
    <t>20x3</t>
  </si>
  <si>
    <t>20x4</t>
  </si>
  <si>
    <t>Salg</t>
  </si>
  <si>
    <t>Økning for 20x6:</t>
  </si>
  <si>
    <t>Oppgave 15.14</t>
  </si>
  <si>
    <t>20x7</t>
  </si>
  <si>
    <t>20x8</t>
  </si>
  <si>
    <t>Stign.tall</t>
  </si>
  <si>
    <t>Skj.pkt</t>
  </si>
  <si>
    <t>Oppgave 15.15</t>
  </si>
  <si>
    <t>Budsjetter salg for 20x9:</t>
  </si>
  <si>
    <t>Periode</t>
  </si>
  <si>
    <t>Januar-februar</t>
  </si>
  <si>
    <t>Mars-april</t>
  </si>
  <si>
    <t>Mai-juni</t>
  </si>
  <si>
    <t>Juli-august</t>
  </si>
  <si>
    <t>September-oktober</t>
  </si>
  <si>
    <t>November-desember</t>
  </si>
  <si>
    <t>Sum</t>
  </si>
  <si>
    <t>Andeler</t>
  </si>
  <si>
    <t>Gj.snitt</t>
  </si>
  <si>
    <t xml:space="preserve">Periodisert </t>
  </si>
  <si>
    <t>salgsbudsjett for 20x9</t>
  </si>
  <si>
    <t>Oppgave 15.16</t>
  </si>
  <si>
    <t>Omsetning 20x5:</t>
  </si>
  <si>
    <t>Omsetnigsøkning:</t>
  </si>
  <si>
    <t>Mva</t>
  </si>
  <si>
    <t>a)</t>
  </si>
  <si>
    <t>Kontantsalg</t>
  </si>
  <si>
    <t>Per 1 mnd</t>
  </si>
  <si>
    <t>Per 3 mnd</t>
  </si>
  <si>
    <t>Budsj oms 20x6:</t>
  </si>
  <si>
    <t>Budsj oms per mnd:</t>
  </si>
  <si>
    <t>Salgsbudsjett</t>
  </si>
  <si>
    <t>Januar</t>
  </si>
  <si>
    <t>Februar</t>
  </si>
  <si>
    <t>Mars</t>
  </si>
  <si>
    <t>April</t>
  </si>
  <si>
    <t xml:space="preserve">Salg </t>
  </si>
  <si>
    <t>Innbetalinger</t>
  </si>
  <si>
    <t>UB per 30.04.</t>
  </si>
  <si>
    <t>b)</t>
  </si>
  <si>
    <t xml:space="preserve">  med</t>
  </si>
  <si>
    <t xml:space="preserve">  kontantrabatt</t>
  </si>
  <si>
    <t>Sum innbetalinger</t>
  </si>
  <si>
    <t>Oppgave 15.18</t>
  </si>
  <si>
    <t>Budsj salg neste år</t>
  </si>
  <si>
    <t>Budsj IB ferdigvarer</t>
  </si>
  <si>
    <t>Budsj UB ferdigvarer</t>
  </si>
  <si>
    <t>a) Budsj produksjon</t>
  </si>
  <si>
    <t>Dir material</t>
  </si>
  <si>
    <t xml:space="preserve"> per enhet</t>
  </si>
  <si>
    <t>Delkomponent 1</t>
  </si>
  <si>
    <t>Delkomponent 2</t>
  </si>
  <si>
    <t xml:space="preserve"> per stk.</t>
  </si>
  <si>
    <t>Transp og spedisjon</t>
  </si>
  <si>
    <t>Svinn og kassering</t>
  </si>
  <si>
    <t xml:space="preserve"> av inntakskost</t>
  </si>
  <si>
    <t>Krav svinn og kass</t>
  </si>
  <si>
    <t>Standard tid</t>
  </si>
  <si>
    <t>St lønnssats</t>
  </si>
  <si>
    <t xml:space="preserve"> timer per enhet</t>
  </si>
  <si>
    <t xml:space="preserve"> per time</t>
  </si>
  <si>
    <t>Forv lønnsvekst</t>
  </si>
  <si>
    <t>Produktiviteten må kompensere for lønnsøkninge og i tillegg:</t>
  </si>
  <si>
    <t>Standardkalkyle:</t>
  </si>
  <si>
    <t xml:space="preserve">Indir var kostn </t>
  </si>
  <si>
    <t>Forslag gir besparelsen:</t>
  </si>
  <si>
    <t xml:space="preserve"> b)</t>
  </si>
  <si>
    <t>Standard materialkost</t>
  </si>
  <si>
    <t>Nåværende</t>
  </si>
  <si>
    <t>Ny</t>
  </si>
  <si>
    <t>Pris halvfabikata</t>
  </si>
  <si>
    <t>Inntakskost</t>
  </si>
  <si>
    <t>Produktivitetsforbedring:</t>
  </si>
  <si>
    <t>Ny stand tid</t>
  </si>
  <si>
    <t>Ny stand lønnssats</t>
  </si>
  <si>
    <t>Ny stand lønnskostn</t>
  </si>
  <si>
    <t>Ny stand indir var kostn</t>
  </si>
  <si>
    <t xml:space="preserve"> Ny stand. Kalkyle:</t>
  </si>
  <si>
    <t>Standard lønnskostnad</t>
  </si>
  <si>
    <t>Standard indir var kostn</t>
  </si>
  <si>
    <t>Tilvirkningsmerkost</t>
  </si>
  <si>
    <t>c) Sum budsjettert tilvirkningsmerkost:</t>
  </si>
  <si>
    <t xml:space="preserve">d) </t>
  </si>
  <si>
    <t>Timebehov for et år:</t>
  </si>
  <si>
    <t>Timer per dag</t>
  </si>
  <si>
    <t>Dager per år</t>
  </si>
  <si>
    <t>Ant timer per år</t>
  </si>
  <si>
    <t>Antall årsverk:</t>
  </si>
  <si>
    <t>Oppgave 15.20</t>
  </si>
  <si>
    <t>Antall caps</t>
  </si>
  <si>
    <t>Juli</t>
  </si>
  <si>
    <t>August</t>
  </si>
  <si>
    <t>September</t>
  </si>
  <si>
    <t>Oktober</t>
  </si>
  <si>
    <t>November</t>
  </si>
  <si>
    <t>Desember</t>
  </si>
  <si>
    <t xml:space="preserve">Pris </t>
  </si>
  <si>
    <t>Kreditt:</t>
  </si>
  <si>
    <t>Salg Juni:</t>
  </si>
  <si>
    <t xml:space="preserve"> ekskl mva</t>
  </si>
  <si>
    <t xml:space="preserve"> av forventet salg i neste mnd.</t>
  </si>
  <si>
    <t>Betales i samme måned:</t>
  </si>
  <si>
    <t>Betales i måneden etter: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</si>
  <si>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cap</t>
    </r>
  </si>
  <si>
    <t>Råvare, material:</t>
  </si>
  <si>
    <t>Råvarelager:</t>
  </si>
  <si>
    <t xml:space="preserve"> av planlagt produksjon i neste mnd.</t>
  </si>
  <si>
    <t>Råvarelager pr 30.06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</si>
  <si>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</si>
  <si>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Råvare, betaling</t>
  </si>
  <si>
    <t xml:space="preserve"> betales i samme måned</t>
  </si>
  <si>
    <t xml:space="preserve"> betales i neste måned</t>
  </si>
  <si>
    <t>Lev.gjeld pr 30.06</t>
  </si>
  <si>
    <t xml:space="preserve"> a)</t>
  </si>
  <si>
    <t xml:space="preserve"> per caps (uten mva)</t>
  </si>
  <si>
    <t xml:space="preserve"> a) Salgsbudsjett</t>
  </si>
  <si>
    <t>Totalt</t>
  </si>
  <si>
    <t>Salg i antall enheter</t>
  </si>
  <si>
    <t>Salg i kr</t>
  </si>
  <si>
    <t>Innbetalinger (inkl. mva.)</t>
  </si>
  <si>
    <t>salg fra juni</t>
  </si>
  <si>
    <t>salg juli</t>
  </si>
  <si>
    <t>salg august</t>
  </si>
  <si>
    <t>salg september</t>
  </si>
  <si>
    <t>Sum salgsinnbetalinger</t>
  </si>
  <si>
    <t xml:space="preserve"> + budsj UB</t>
  </si>
  <si>
    <t>Ferdigvarelager (UB):</t>
  </si>
  <si>
    <t xml:space="preserve"> - budsj IB</t>
  </si>
  <si>
    <t xml:space="preserve"> b) Produksjonsbudsjett (antall)</t>
  </si>
  <si>
    <t>Budsj produksjon (antall)</t>
  </si>
  <si>
    <t xml:space="preserve"> c) Innkjøpsbudsjett</t>
  </si>
  <si>
    <r>
      <t>Forbruk råvarer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</si>
  <si>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+ UB råvarer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</si>
  <si>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Innkjøp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</si>
  <si>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- IB råvarer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</si>
  <si>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Innkjøp ekskl mva</t>
  </si>
  <si>
    <r>
      <t xml:space="preserve">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</si>
  <si>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Innkjøp inkl mva</t>
  </si>
  <si>
    <t>Utbetalinger til leverandører</t>
  </si>
  <si>
    <t>Leverandørgjeld</t>
  </si>
  <si>
    <t xml:space="preserve"> (inkl mva)</t>
  </si>
  <si>
    <t>Innkjøp juli</t>
  </si>
  <si>
    <t>Innkjøp august</t>
  </si>
  <si>
    <t>Innkjøp sept</t>
  </si>
  <si>
    <t>Utbetalinger</t>
  </si>
  <si>
    <t>Oppgave 15.21</t>
  </si>
  <si>
    <t xml:space="preserve"> Per 31.12 inneværende år:</t>
  </si>
  <si>
    <t>Skyldig og påløpt arb.giveravg.:</t>
  </si>
  <si>
    <t>Skyldige feriepenger:</t>
  </si>
  <si>
    <t>Skyldig arb.giveravg. for 6. termin:</t>
  </si>
  <si>
    <t xml:space="preserve">Arb.giveravg. på feriepenger: </t>
  </si>
  <si>
    <t>Feriepenger betales ut i juli</t>
  </si>
  <si>
    <t>Arbeidsgiveravgift</t>
  </si>
  <si>
    <t>Feriepenger</t>
  </si>
  <si>
    <t xml:space="preserve">Budsj. lønnskostnader </t>
  </si>
  <si>
    <t>Arbeidsgiveravgiftsgrunnlag</t>
  </si>
  <si>
    <t xml:space="preserve">Feriepenger (avsettes) </t>
  </si>
  <si>
    <t>Lønnsutbetaling</t>
  </si>
  <si>
    <t>Arbeidsgiveravgift på utbetalt lønn</t>
  </si>
  <si>
    <t>Arbeidsgiveravgift på feriepenger</t>
  </si>
  <si>
    <t>Lønnsutbetalingsbudsjett</t>
  </si>
  <si>
    <t>Skyldig per 30.09</t>
  </si>
  <si>
    <t>Arbeidsgiveravgift:</t>
  </si>
  <si>
    <t xml:space="preserve"> 4. termin</t>
  </si>
  <si>
    <t xml:space="preserve"> 5. termin</t>
  </si>
  <si>
    <t>Feriepenger:</t>
  </si>
  <si>
    <t xml:space="preserve">  Fra IB balanse</t>
  </si>
  <si>
    <t xml:space="preserve">  Avsatt </t>
  </si>
  <si>
    <t>Arbeidsgiveravgift på feriepenger:</t>
  </si>
  <si>
    <t xml:space="preserve">  Påløpt</t>
  </si>
  <si>
    <t>Sum lønnsutbetaling</t>
  </si>
  <si>
    <t>Sum arbeidsgiveravgift</t>
  </si>
  <si>
    <t>Sum feriepenger</t>
  </si>
  <si>
    <t>Oppgave 15.23</t>
  </si>
  <si>
    <t xml:space="preserve">Antall </t>
  </si>
  <si>
    <t>Pris per enhet</t>
  </si>
  <si>
    <t xml:space="preserve"> Konstante varelagere</t>
  </si>
  <si>
    <t>Budsjett:</t>
  </si>
  <si>
    <t xml:space="preserve">Direkte material </t>
  </si>
  <si>
    <t>Indir var tilv.kostn.</t>
  </si>
  <si>
    <t>Selgerkostnader</t>
  </si>
  <si>
    <t>FK pr år ekskl avskr og renter</t>
  </si>
  <si>
    <t xml:space="preserve"> per år</t>
  </si>
  <si>
    <t>Renteinntekter</t>
  </si>
  <si>
    <t>Rentekostnader</t>
  </si>
  <si>
    <t>Skattesats</t>
  </si>
  <si>
    <t xml:space="preserve"> a) Resultatbudsjett</t>
  </si>
  <si>
    <t>Salgsinntekter</t>
  </si>
  <si>
    <t>Direkte material</t>
  </si>
  <si>
    <t>Driftsresultat</t>
  </si>
  <si>
    <t>Resultat før skattekostnad</t>
  </si>
  <si>
    <t>Skattekostnad</t>
  </si>
  <si>
    <t>Resultat etter skatt</t>
  </si>
  <si>
    <t>Dekningsgrad</t>
  </si>
  <si>
    <t>Nullpunktsomsetning</t>
  </si>
  <si>
    <t xml:space="preserve">Nullpunkt </t>
  </si>
  <si>
    <t>Oppgave 15.24</t>
  </si>
  <si>
    <t>Resultatbudsjett</t>
  </si>
  <si>
    <t>Vareforbruk</t>
  </si>
  <si>
    <t>Bruttofortjeneste</t>
  </si>
  <si>
    <t>Lønnskostnader</t>
  </si>
  <si>
    <t>Diverse adm. kostnader</t>
  </si>
  <si>
    <t>Husleie</t>
  </si>
  <si>
    <t>Netto finansposter</t>
  </si>
  <si>
    <t>Resultat før skatt</t>
  </si>
  <si>
    <t>Omsetning</t>
  </si>
  <si>
    <t>jan/feb</t>
  </si>
  <si>
    <t>mars/april</t>
  </si>
  <si>
    <t>mai/juni</t>
  </si>
  <si>
    <t>juli/aug</t>
  </si>
  <si>
    <t>sept/okt</t>
  </si>
  <si>
    <t>nov/des</t>
  </si>
  <si>
    <t>Oppgave 15.25</t>
  </si>
  <si>
    <t>Budsjett for 20x7</t>
  </si>
  <si>
    <t>Produksjonsvolum</t>
  </si>
  <si>
    <t>Variabel standardkostkalkyle (per enhet):</t>
  </si>
  <si>
    <t>Sum var kostnader</t>
  </si>
  <si>
    <t>Fordeling av salgsinnt.</t>
  </si>
  <si>
    <t xml:space="preserve"> 3. kvartal</t>
  </si>
  <si>
    <t>Salg, antall enheter</t>
  </si>
  <si>
    <t>Fordelingsnøkler</t>
  </si>
  <si>
    <t xml:space="preserve">  ant dager av tot 226</t>
  </si>
  <si>
    <t>Tilvirkning, antall</t>
  </si>
  <si>
    <t>Beholdningsøkn. antall</t>
  </si>
  <si>
    <t>Beholdningsøkning</t>
  </si>
  <si>
    <t xml:space="preserve"> b) Resultatbudsjett</t>
  </si>
  <si>
    <t>Periodens tilv.merkost</t>
  </si>
  <si>
    <t>Beholdningsøkning FV</t>
  </si>
  <si>
    <t>Tilv.merkost ferdige varer</t>
  </si>
  <si>
    <t>Salgsprovisjon</t>
  </si>
  <si>
    <t>Ant. dager</t>
  </si>
  <si>
    <t>Salgsprovisjon, per enhet</t>
  </si>
  <si>
    <t xml:space="preserve"> Faste kostnader:</t>
  </si>
  <si>
    <t>Driftskostnader</t>
  </si>
  <si>
    <t>Rep og vedlikehold</t>
  </si>
  <si>
    <t>El kraft</t>
  </si>
  <si>
    <t>Salgskostnad</t>
  </si>
  <si>
    <t>Kontorholdskostnader</t>
  </si>
  <si>
    <t>Reiser, opphold</t>
  </si>
  <si>
    <t>Representasjon</t>
  </si>
  <si>
    <t>Honorarer styret, revisjon</t>
  </si>
  <si>
    <t xml:space="preserve"> Hele året:</t>
  </si>
  <si>
    <t>Finansinntekter</t>
  </si>
  <si>
    <t>Fin.kostnader, løpende lån</t>
  </si>
  <si>
    <t>Fin.kostnader, nye lån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</si>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</sst>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kr&quot;\ #,##0;[Red]&quot;kr&quot;\ \-#,##0"/>
    <numFmt numFmtId="8" formatCode="&quot;kr&quot;\ #,##0.00;[Red]&quot;kr&quot;\ \-#,##0.00"/>
    <numFmt numFmtId="43" formatCode="_ * #,##0.00_ ;_ * \-#,##0.00_ ;_ * &quot;-&quot;??_ ;_ @_ "/>
    <numFmt numFmtId="164" formatCode="&quot;kr&quot;\ #,##0.00"/>
    <numFmt numFmtId="165" formatCode="&quot;kr&quot;\ #,##0"/>
    <numFmt numFmtId="166" formatCode="_ * #,##0_ ;_ * \-#,##0_ ;_ * &quot;-&quot;??_ ;_ @_ "/>
    <numFmt numFmtId="167" formatCode="0.0\ %"/>
    <numFmt numFmtId="168" formatCode="_ * #,##0.0000_ ;_ * \-#,##0.0000_ ;_ * &quot;-&quot;??_ ;_ @_ "/>
    <numFmt numFmtId="169" formatCode="0.00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9" fontId="0" fillId="0" borderId="0" xfId="0" applyNumberFormat="1"/>
    <xf numFmtId="6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0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6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0" fontId="0" fillId="0" borderId="2" xfId="0" applyBorder="1"/>
    <xf numFmtId="165" fontId="0" fillId="0" borderId="2" xfId="0" applyNumberFormat="1" applyBorder="1"/>
    <xf numFmtId="9" fontId="0" fillId="0" borderId="1" xfId="0" applyNumberFormat="1" applyBorder="1"/>
    <xf numFmtId="0" fontId="0" fillId="0" borderId="0" xfId="0" applyFill="1" applyBorder="1" applyAlignment="1"/>
    <xf numFmtId="165" fontId="0" fillId="0" borderId="0" xfId="0" applyNumberFormat="1"/>
    <xf numFmtId="0" fontId="0" fillId="0" borderId="0" xfId="0" applyBorder="1"/>
    <xf numFmtId="166" fontId="0" fillId="0" borderId="0" xfId="1" applyNumberFormat="1" applyFont="1"/>
    <xf numFmtId="43" fontId="0" fillId="0" borderId="0" xfId="1" applyNumberFormat="1" applyFont="1"/>
    <xf numFmtId="0" fontId="0" fillId="0" borderId="0" xfId="0" applyAlignment="1">
      <alignment horizontal="center"/>
    </xf>
    <xf numFmtId="9" fontId="0" fillId="0" borderId="0" xfId="2" applyFont="1"/>
    <xf numFmtId="167" fontId="0" fillId="0" borderId="0" xfId="2" applyNumberFormat="1" applyFont="1"/>
    <xf numFmtId="167" fontId="0" fillId="0" borderId="0" xfId="0" applyNumberFormat="1"/>
    <xf numFmtId="43" fontId="0" fillId="0" borderId="0" xfId="1" applyFont="1"/>
    <xf numFmtId="165" fontId="0" fillId="0" borderId="0" xfId="1" applyNumberFormat="1" applyFont="1"/>
    <xf numFmtId="0" fontId="0" fillId="0" borderId="1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2" applyNumberFormat="1" applyFont="1" applyBorder="1"/>
    <xf numFmtId="10" fontId="0" fillId="0" borderId="0" xfId="2" applyNumberFormat="1" applyFont="1" applyBorder="1"/>
    <xf numFmtId="10" fontId="0" fillId="0" borderId="9" xfId="2" applyNumberFormat="1" applyFont="1" applyBorder="1"/>
    <xf numFmtId="10" fontId="0" fillId="0" borderId="1" xfId="2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0" xfId="0" applyBorder="1"/>
    <xf numFmtId="10" fontId="0" fillId="0" borderId="11" xfId="0" applyNumberFormat="1" applyBorder="1"/>
    <xf numFmtId="10" fontId="0" fillId="0" borderId="12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6" xfId="0" applyBorder="1"/>
    <xf numFmtId="0" fontId="0" fillId="0" borderId="12" xfId="0" applyBorder="1"/>
    <xf numFmtId="0" fontId="0" fillId="0" borderId="0" xfId="0" applyFill="1" applyBorder="1"/>
    <xf numFmtId="164" fontId="0" fillId="0" borderId="1" xfId="0" applyNumberFormat="1" applyFill="1" applyBorder="1"/>
    <xf numFmtId="10" fontId="0" fillId="0" borderId="0" xfId="0" applyNumberFormat="1"/>
    <xf numFmtId="166" fontId="0" fillId="0" borderId="0" xfId="0" applyNumberFormat="1"/>
    <xf numFmtId="2" fontId="0" fillId="0" borderId="0" xfId="0" applyNumberFormat="1"/>
    <xf numFmtId="166" fontId="0" fillId="0" borderId="1" xfId="1" applyNumberFormat="1" applyFont="1" applyBorder="1"/>
    <xf numFmtId="8" fontId="0" fillId="0" borderId="0" xfId="0" applyNumberFormat="1"/>
    <xf numFmtId="0" fontId="0" fillId="0" borderId="2" xfId="0" applyFill="1" applyBorder="1"/>
    <xf numFmtId="6" fontId="0" fillId="0" borderId="2" xfId="0" applyNumberFormat="1" applyBorder="1"/>
    <xf numFmtId="168" fontId="0" fillId="0" borderId="0" xfId="1" applyNumberFormat="1" applyFont="1"/>
    <xf numFmtId="166" fontId="0" fillId="0" borderId="1" xfId="0" applyNumberFormat="1" applyBorder="1"/>
    <xf numFmtId="6" fontId="0" fillId="0" borderId="0" xfId="0" applyNumberFormat="1" applyBorder="1"/>
    <xf numFmtId="0" fontId="0" fillId="0" borderId="1" xfId="0" applyFill="1" applyBorder="1"/>
    <xf numFmtId="9" fontId="0" fillId="0" borderId="0" xfId="0" applyNumberFormat="1" applyAlignment="1">
      <alignment horizontal="center"/>
    </xf>
    <xf numFmtId="169" fontId="0" fillId="0" borderId="0" xfId="2" applyNumberFormat="1" applyFont="1"/>
    <xf numFmtId="9" fontId="0" fillId="0" borderId="0" xfId="2" applyNumberFormat="1" applyFont="1"/>
    <xf numFmtId="0" fontId="0" fillId="0" borderId="1" xfId="0" applyFill="1" applyBorder="1" applyAlignment="1">
      <alignment horizontal="center"/>
    </xf>
    <xf numFmtId="0" fontId="0" fillId="0" borderId="5" xfId="0" applyBorder="1"/>
    <xf numFmtId="165" fontId="0" fillId="0" borderId="10" xfId="0" applyNumberForma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6541599473856"/>
          <c:y val="5.964937055088651E-2"/>
          <c:w val="0.80902481703157747"/>
          <c:h val="0.8364105534480642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'15.14'!$A$4:$A$13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'15.14'!$B$4:$B$13</c:f>
              <c:numCache>
                <c:formatCode>"kr"\ #\ ##0</c:formatCode>
                <c:ptCount val="10"/>
                <c:pt idx="0">
                  <c:v>94000</c:v>
                </c:pt>
                <c:pt idx="1">
                  <c:v>96000</c:v>
                </c:pt>
                <c:pt idx="2">
                  <c:v>86000</c:v>
                </c:pt>
                <c:pt idx="3">
                  <c:v>98000</c:v>
                </c:pt>
                <c:pt idx="4">
                  <c:v>110000</c:v>
                </c:pt>
                <c:pt idx="5">
                  <c:v>104000</c:v>
                </c:pt>
                <c:pt idx="6">
                  <c:v>100000</c:v>
                </c:pt>
                <c:pt idx="7">
                  <c:v>106000</c:v>
                </c:pt>
              </c:numCache>
            </c:numRef>
          </c:yVal>
          <c:smooth val="0"/>
        </c:ser>
        <c:ser>
          <c:idx val="1"/>
          <c:order val="1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'15.14'!$A$4:$A$11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xVal>
          <c:yVal>
            <c:numRef>
              <c:f>'15.14'!$D$4:$D$11</c:f>
              <c:numCache>
                <c:formatCode>"kr"\ #\ ##0</c:formatCode>
                <c:ptCount val="8"/>
                <c:pt idx="0">
                  <c:v>92166.666666666511</c:v>
                </c:pt>
                <c:pt idx="1">
                  <c:v>94190.476190475747</c:v>
                </c:pt>
                <c:pt idx="2">
                  <c:v>96214.285714285448</c:v>
                </c:pt>
                <c:pt idx="3">
                  <c:v>98238.095238095149</c:v>
                </c:pt>
                <c:pt idx="4">
                  <c:v>100261.90476190438</c:v>
                </c:pt>
                <c:pt idx="5">
                  <c:v>102285.71428571409</c:v>
                </c:pt>
                <c:pt idx="6">
                  <c:v>104309.52380952379</c:v>
                </c:pt>
                <c:pt idx="7">
                  <c:v>106333.33333333302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'15.14'!$A$11:$A$13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xVal>
          <c:yVal>
            <c:numRef>
              <c:f>'15.14'!$D$11:$D$13</c:f>
              <c:numCache>
                <c:formatCode>"kr"\ #\ ##0</c:formatCode>
                <c:ptCount val="3"/>
                <c:pt idx="0">
                  <c:v>106333.33333333302</c:v>
                </c:pt>
                <c:pt idx="1">
                  <c:v>108357.14285714272</c:v>
                </c:pt>
                <c:pt idx="2">
                  <c:v>110380.95238095196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257568"/>
        <c:axId val="341257960"/>
      </c:scatterChart>
      <c:valAx>
        <c:axId val="341257568"/>
        <c:scaling>
          <c:orientation val="minMax"/>
          <c:max val="2018"/>
          <c:min val="2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257960"/>
        <c:crosses val="autoZero"/>
        <c:crossBetween val="midCat"/>
      </c:valAx>
      <c:valAx>
        <c:axId val="341257960"/>
        <c:scaling>
          <c:orientation val="minMax"/>
          <c:max val="120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25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119062</xdr:rowOff>
    </xdr:from>
    <xdr:to>
      <xdr:col>13</xdr:col>
      <xdr:colOff>323849</xdr:colOff>
      <xdr:row>26</xdr:row>
      <xdr:rowOff>38100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B2" sqref="B2"/>
    </sheetView>
  </sheetViews>
  <sheetFormatPr baseColWidth="10" defaultRowHeight="15" x14ac:dyDescent="0.25"/>
  <cols>
    <col min="1" max="1" width="26.140625" customWidth="1"/>
    <col min="2" max="2" width="16.28515625" customWidth="1"/>
    <col min="3" max="3" width="18.42578125" customWidth="1"/>
    <col min="4" max="4" width="18.5703125" customWidth="1"/>
    <col min="5" max="5" width="9.42578125" customWidth="1"/>
    <col min="6" max="6" width="17.7109375" customWidth="1"/>
  </cols>
  <sheetData>
    <row r="1" spans="1:8" x14ac:dyDescent="0.25">
      <c r="A1" t="s">
        <v>0</v>
      </c>
    </row>
    <row r="3" spans="1:8" ht="45" x14ac:dyDescent="0.25">
      <c r="A3" s="5" t="s">
        <v>1</v>
      </c>
      <c r="B3" s="5" t="s">
        <v>27</v>
      </c>
      <c r="C3" s="5"/>
      <c r="D3" s="5" t="s">
        <v>28</v>
      </c>
      <c r="E3" s="5"/>
      <c r="F3" s="5" t="s">
        <v>62</v>
      </c>
    </row>
    <row r="4" spans="1:8" x14ac:dyDescent="0.25">
      <c r="A4" t="s">
        <v>2</v>
      </c>
      <c r="B4">
        <v>4.5</v>
      </c>
      <c r="C4" t="s">
        <v>32</v>
      </c>
      <c r="D4">
        <v>22</v>
      </c>
      <c r="E4" t="s">
        <v>33</v>
      </c>
      <c r="F4" s="1">
        <v>0.05</v>
      </c>
    </row>
    <row r="5" spans="1:8" ht="15.75" customHeight="1" x14ac:dyDescent="0.25">
      <c r="A5" t="s">
        <v>3</v>
      </c>
      <c r="B5">
        <v>5</v>
      </c>
      <c r="C5" t="s">
        <v>32</v>
      </c>
      <c r="D5">
        <v>50</v>
      </c>
      <c r="E5" t="s">
        <v>33</v>
      </c>
      <c r="F5" s="1">
        <v>0.06</v>
      </c>
    </row>
    <row r="6" spans="1:8" ht="15.75" customHeight="1" x14ac:dyDescent="0.25">
      <c r="A6" s="4" t="s">
        <v>4</v>
      </c>
      <c r="B6" s="5" t="s">
        <v>35</v>
      </c>
      <c r="C6" s="5" t="s">
        <v>34</v>
      </c>
      <c r="D6">
        <v>120</v>
      </c>
      <c r="E6" t="s">
        <v>38</v>
      </c>
      <c r="F6" s="7">
        <v>7.4999999999999997E-2</v>
      </c>
    </row>
    <row r="7" spans="1:8" ht="30" x14ac:dyDescent="0.25">
      <c r="A7" s="8" t="s">
        <v>37</v>
      </c>
      <c r="B7" s="8" t="s">
        <v>29</v>
      </c>
      <c r="C7" s="8"/>
      <c r="D7" s="8" t="s">
        <v>30</v>
      </c>
      <c r="E7" s="8"/>
      <c r="F7" s="8" t="s">
        <v>31</v>
      </c>
    </row>
    <row r="8" spans="1:8" x14ac:dyDescent="0.25">
      <c r="A8" t="s">
        <v>5</v>
      </c>
      <c r="B8">
        <v>1.75</v>
      </c>
      <c r="C8" s="9" t="s">
        <v>36</v>
      </c>
      <c r="D8" s="2">
        <v>200</v>
      </c>
      <c r="E8" s="2"/>
      <c r="F8" s="2">
        <v>215</v>
      </c>
    </row>
    <row r="9" spans="1:8" x14ac:dyDescent="0.25">
      <c r="A9" s="4" t="s">
        <v>6</v>
      </c>
      <c r="B9" s="4">
        <v>0.25</v>
      </c>
      <c r="C9" s="10" t="s">
        <v>36</v>
      </c>
      <c r="D9" s="11">
        <v>200</v>
      </c>
      <c r="E9" s="4"/>
      <c r="F9" s="11">
        <v>215</v>
      </c>
    </row>
    <row r="11" spans="1:8" x14ac:dyDescent="0.25">
      <c r="A11" s="4" t="s">
        <v>7</v>
      </c>
      <c r="B11" s="4" t="s">
        <v>8</v>
      </c>
      <c r="C11" s="4"/>
      <c r="D11" s="4" t="s">
        <v>9</v>
      </c>
      <c r="H11" s="2"/>
    </row>
    <row r="12" spans="1:8" x14ac:dyDescent="0.25">
      <c r="A12" t="s">
        <v>10</v>
      </c>
      <c r="B12" s="3">
        <v>10000</v>
      </c>
      <c r="C12" s="3"/>
      <c r="D12" s="3">
        <v>4000</v>
      </c>
      <c r="E12" s="3"/>
    </row>
    <row r="13" spans="1:8" x14ac:dyDescent="0.25">
      <c r="A13" t="s">
        <v>11</v>
      </c>
      <c r="B13" s="3">
        <v>12500</v>
      </c>
      <c r="C13" s="3"/>
      <c r="D13" s="3">
        <v>6000</v>
      </c>
      <c r="E13" s="3"/>
    </row>
    <row r="14" spans="1:8" x14ac:dyDescent="0.25">
      <c r="A14" t="s">
        <v>12</v>
      </c>
      <c r="B14" s="3">
        <v>2000</v>
      </c>
      <c r="C14" s="3"/>
      <c r="D14">
        <v>800</v>
      </c>
    </row>
    <row r="15" spans="1:8" x14ac:dyDescent="0.25">
      <c r="A15" s="4" t="s">
        <v>13</v>
      </c>
      <c r="B15" s="12">
        <v>1500</v>
      </c>
      <c r="C15" s="12"/>
      <c r="D15" s="4">
        <v>500</v>
      </c>
    </row>
    <row r="17" spans="1:5" x14ac:dyDescent="0.25">
      <c r="A17" s="4" t="s">
        <v>14</v>
      </c>
      <c r="B17" s="4" t="s">
        <v>15</v>
      </c>
      <c r="C17" s="4"/>
      <c r="D17" s="4" t="s">
        <v>16</v>
      </c>
    </row>
    <row r="18" spans="1:5" x14ac:dyDescent="0.25">
      <c r="A18" t="s">
        <v>17</v>
      </c>
      <c r="B18" s="3">
        <v>40000</v>
      </c>
      <c r="C18" s="3"/>
      <c r="D18" s="3">
        <v>48000</v>
      </c>
      <c r="E18" s="3"/>
    </row>
    <row r="19" spans="1:5" x14ac:dyDescent="0.25">
      <c r="A19" s="4" t="s">
        <v>39</v>
      </c>
      <c r="B19" s="14">
        <v>2000</v>
      </c>
      <c r="C19" s="12"/>
      <c r="D19" s="12">
        <v>2100</v>
      </c>
      <c r="E19" s="3"/>
    </row>
    <row r="21" spans="1:5" x14ac:dyDescent="0.25">
      <c r="A21" s="4" t="s">
        <v>18</v>
      </c>
      <c r="B21" s="4" t="s">
        <v>19</v>
      </c>
      <c r="C21" s="4"/>
      <c r="D21" s="4" t="s">
        <v>20</v>
      </c>
    </row>
    <row r="22" spans="1:5" ht="32.25" customHeight="1" x14ac:dyDescent="0.25">
      <c r="A22" t="s">
        <v>21</v>
      </c>
      <c r="B22" s="1">
        <v>0.3</v>
      </c>
      <c r="C22" s="6" t="s">
        <v>40</v>
      </c>
      <c r="D22" s="2">
        <v>5000000</v>
      </c>
      <c r="E22" s="2"/>
    </row>
    <row r="23" spans="1:5" ht="32.25" x14ac:dyDescent="0.25">
      <c r="A23" t="s">
        <v>22</v>
      </c>
      <c r="B23" s="15">
        <v>40.950000000000003</v>
      </c>
      <c r="C23" s="6" t="s">
        <v>41</v>
      </c>
      <c r="D23" s="2">
        <v>7800000</v>
      </c>
    </row>
    <row r="24" spans="1:5" x14ac:dyDescent="0.25">
      <c r="A24" s="4" t="s">
        <v>23</v>
      </c>
      <c r="B24" s="18">
        <v>0.1</v>
      </c>
      <c r="C24" s="5" t="s">
        <v>42</v>
      </c>
      <c r="D24" s="11">
        <v>5500000</v>
      </c>
      <c r="E24" s="2"/>
    </row>
    <row r="25" spans="1:5" x14ac:dyDescent="0.25">
      <c r="C25" s="19" t="s">
        <v>63</v>
      </c>
      <c r="D25" s="1">
        <v>0.05</v>
      </c>
      <c r="E25" s="19" t="s">
        <v>64</v>
      </c>
    </row>
    <row r="26" spans="1:5" x14ac:dyDescent="0.25">
      <c r="A26" s="4" t="s">
        <v>24</v>
      </c>
      <c r="B26" s="4" t="s">
        <v>25</v>
      </c>
    </row>
    <row r="27" spans="1:5" x14ac:dyDescent="0.25">
      <c r="A27" s="16" t="s">
        <v>26</v>
      </c>
      <c r="B27" s="17">
        <v>6000000</v>
      </c>
    </row>
    <row r="30" spans="1:5" x14ac:dyDescent="0.25">
      <c r="A30" t="s">
        <v>43</v>
      </c>
    </row>
    <row r="31" spans="1:5" x14ac:dyDescent="0.25">
      <c r="B31" s="20">
        <f>D18*D19</f>
        <v>100800000</v>
      </c>
    </row>
    <row r="33" spans="1:3" x14ac:dyDescent="0.25">
      <c r="A33" t="s">
        <v>56</v>
      </c>
      <c r="B33" t="s">
        <v>57</v>
      </c>
      <c r="C33" t="s">
        <v>58</v>
      </c>
    </row>
    <row r="34" spans="1:3" x14ac:dyDescent="0.25">
      <c r="A34" s="21" t="s">
        <v>44</v>
      </c>
      <c r="B34" s="21"/>
      <c r="C34" s="21"/>
    </row>
    <row r="35" spans="1:3" x14ac:dyDescent="0.25">
      <c r="A35" t="s">
        <v>45</v>
      </c>
      <c r="B35" s="15">
        <f>$B$4*$D$4</f>
        <v>99</v>
      </c>
      <c r="C35" s="15">
        <f>$B$4*$D$4*(1+F4)</f>
        <v>103.95</v>
      </c>
    </row>
    <row r="36" spans="1:3" x14ac:dyDescent="0.25">
      <c r="A36" t="s">
        <v>46</v>
      </c>
      <c r="B36" s="15">
        <f>$B$5*$D$5</f>
        <v>250</v>
      </c>
      <c r="C36" s="15">
        <f>$B$5*$D$5*(1+F5)</f>
        <v>265</v>
      </c>
    </row>
    <row r="37" spans="1:3" x14ac:dyDescent="0.25">
      <c r="A37" s="4" t="s">
        <v>47</v>
      </c>
      <c r="B37" s="13">
        <f>$D$6</f>
        <v>120</v>
      </c>
      <c r="C37" s="13">
        <f>$D$6*(1+F6)</f>
        <v>129</v>
      </c>
    </row>
    <row r="38" spans="1:3" x14ac:dyDescent="0.25">
      <c r="B38" s="15">
        <f>SUM(B35:B37)</f>
        <v>469</v>
      </c>
      <c r="C38" s="15">
        <f>SUM(C35:C37)</f>
        <v>497.95</v>
      </c>
    </row>
    <row r="39" spans="1:3" x14ac:dyDescent="0.25">
      <c r="A39" t="s">
        <v>48</v>
      </c>
      <c r="B39" s="15"/>
      <c r="C39" s="15"/>
    </row>
    <row r="40" spans="1:3" x14ac:dyDescent="0.25">
      <c r="A40" t="s">
        <v>49</v>
      </c>
      <c r="B40" s="15">
        <f>B8*D8</f>
        <v>350</v>
      </c>
      <c r="C40" s="15">
        <f>B8*F8</f>
        <v>376.25</v>
      </c>
    </row>
    <row r="41" spans="1:3" x14ac:dyDescent="0.25">
      <c r="A41" s="4" t="s">
        <v>50</v>
      </c>
      <c r="B41" s="13">
        <f>B9*D9</f>
        <v>50</v>
      </c>
      <c r="C41" s="13">
        <f>B9*F9</f>
        <v>53.75</v>
      </c>
    </row>
    <row r="42" spans="1:3" x14ac:dyDescent="0.25">
      <c r="B42" s="15">
        <f>SUM(B40:B41)</f>
        <v>400</v>
      </c>
      <c r="C42" s="15">
        <f>SUM(C40:C41)</f>
        <v>430</v>
      </c>
    </row>
    <row r="43" spans="1:3" x14ac:dyDescent="0.25">
      <c r="A43" t="s">
        <v>59</v>
      </c>
      <c r="B43" s="15"/>
      <c r="C43" s="15"/>
    </row>
    <row r="44" spans="1:3" x14ac:dyDescent="0.25">
      <c r="A44" t="s">
        <v>51</v>
      </c>
      <c r="B44" s="15">
        <f>$B$22*B38</f>
        <v>140.69999999999999</v>
      </c>
      <c r="C44" s="15">
        <f>$B$22*C38</f>
        <v>149.38499999999999</v>
      </c>
    </row>
    <row r="45" spans="1:3" x14ac:dyDescent="0.25">
      <c r="A45" s="4" t="s">
        <v>52</v>
      </c>
      <c r="B45" s="13">
        <f>($B$8+$B$9)*$B$23/(1+D25)</f>
        <v>78</v>
      </c>
      <c r="C45" s="13">
        <f>($B$8+$B$9)*$B$23</f>
        <v>81.900000000000006</v>
      </c>
    </row>
    <row r="46" spans="1:3" x14ac:dyDescent="0.25">
      <c r="B46" s="15">
        <f>SUM(B44:B45)</f>
        <v>218.7</v>
      </c>
      <c r="C46" s="15">
        <f>SUM(C44:C45)</f>
        <v>231.285</v>
      </c>
    </row>
    <row r="47" spans="1:3" x14ac:dyDescent="0.25">
      <c r="B47" s="15"/>
      <c r="C47" s="15"/>
    </row>
    <row r="48" spans="1:3" x14ac:dyDescent="0.25">
      <c r="A48" t="s">
        <v>60</v>
      </c>
      <c r="B48" s="15">
        <f>B38+B42+B46</f>
        <v>1087.7</v>
      </c>
      <c r="C48" s="15">
        <f>C38+C42+C46</f>
        <v>1159.2350000000001</v>
      </c>
    </row>
    <row r="49" spans="1:3" x14ac:dyDescent="0.25">
      <c r="A49" s="4" t="s">
        <v>61</v>
      </c>
      <c r="B49" s="13">
        <f>$B$24*B51</f>
        <v>200</v>
      </c>
      <c r="C49" s="13">
        <f>$B$24*C51</f>
        <v>210</v>
      </c>
    </row>
    <row r="50" spans="1:3" x14ac:dyDescent="0.25">
      <c r="A50" t="s">
        <v>53</v>
      </c>
      <c r="B50" s="15">
        <f>SUM(B48:B49)</f>
        <v>1287.7</v>
      </c>
      <c r="C50" s="15">
        <f>SUM(C48:C49)</f>
        <v>1369.2350000000001</v>
      </c>
    </row>
    <row r="51" spans="1:3" x14ac:dyDescent="0.25">
      <c r="A51" s="4" t="s">
        <v>54</v>
      </c>
      <c r="B51" s="13">
        <f>B19</f>
        <v>2000</v>
      </c>
      <c r="C51" s="13">
        <f>D19</f>
        <v>2100</v>
      </c>
    </row>
    <row r="52" spans="1:3" x14ac:dyDescent="0.25">
      <c r="A52" t="s">
        <v>55</v>
      </c>
      <c r="B52" s="15">
        <f>B51-B50</f>
        <v>712.3</v>
      </c>
      <c r="C52" s="15">
        <f>C51-C50</f>
        <v>730.76499999999987</v>
      </c>
    </row>
    <row r="55" spans="1:3" x14ac:dyDescent="0.25">
      <c r="A55" t="s">
        <v>65</v>
      </c>
      <c r="B55" s="3">
        <f>D18+D15-B15</f>
        <v>47000</v>
      </c>
      <c r="C55" t="s">
        <v>66</v>
      </c>
    </row>
    <row r="57" spans="1:3" x14ac:dyDescent="0.25">
      <c r="A57" t="s">
        <v>70</v>
      </c>
      <c r="B57" s="22">
        <f>B55*(B8+B9)</f>
        <v>94000</v>
      </c>
      <c r="C57" t="s">
        <v>67</v>
      </c>
    </row>
    <row r="58" spans="1:3" x14ac:dyDescent="0.25">
      <c r="A58" t="s">
        <v>69</v>
      </c>
      <c r="B58" s="22">
        <v>1695</v>
      </c>
      <c r="C58" t="s">
        <v>67</v>
      </c>
    </row>
    <row r="59" spans="1:3" x14ac:dyDescent="0.25">
      <c r="A59" t="s">
        <v>68</v>
      </c>
      <c r="B59" s="23">
        <f>B57/B58</f>
        <v>55.45722713864307</v>
      </c>
    </row>
    <row r="60" spans="1:3" x14ac:dyDescent="0.25">
      <c r="A60" t="s">
        <v>71</v>
      </c>
      <c r="B60" s="20">
        <f>B57*F8</f>
        <v>20210000</v>
      </c>
    </row>
    <row r="62" spans="1:3" x14ac:dyDescent="0.25">
      <c r="A62" t="s">
        <v>72</v>
      </c>
    </row>
    <row r="63" spans="1:3" x14ac:dyDescent="0.25">
      <c r="A63" t="s">
        <v>73</v>
      </c>
    </row>
    <row r="64" spans="1:3" x14ac:dyDescent="0.25">
      <c r="A64" t="s">
        <v>74</v>
      </c>
      <c r="B64" s="22">
        <f>B4*$B$55+D12-B12</f>
        <v>205500</v>
      </c>
      <c r="C64" t="s">
        <v>32</v>
      </c>
    </row>
    <row r="65" spans="1:3" x14ac:dyDescent="0.25">
      <c r="A65" t="s">
        <v>3</v>
      </c>
      <c r="B65" s="22">
        <f>B5*$B$55+D13-B13</f>
        <v>228500</v>
      </c>
      <c r="C65" t="s">
        <v>32</v>
      </c>
    </row>
    <row r="66" spans="1:3" x14ac:dyDescent="0.25">
      <c r="A66" t="s">
        <v>4</v>
      </c>
      <c r="B66" s="22">
        <f>$B$55+D14-B14</f>
        <v>45800</v>
      </c>
      <c r="C66" t="s">
        <v>75</v>
      </c>
    </row>
    <row r="67" spans="1:3" x14ac:dyDescent="0.25">
      <c r="A67" t="s">
        <v>76</v>
      </c>
      <c r="B67" s="20">
        <f>B64*D4*(1+F4)+B65*D5*(1+F5)+B66*D6*(1+F6)</f>
        <v>22765750</v>
      </c>
    </row>
    <row r="68" spans="1:3" x14ac:dyDescent="0.25">
      <c r="B68" s="20"/>
    </row>
    <row r="69" spans="1:3" x14ac:dyDescent="0.25">
      <c r="A69" t="s">
        <v>77</v>
      </c>
      <c r="B69" s="20"/>
    </row>
    <row r="70" spans="1:3" x14ac:dyDescent="0.25">
      <c r="A70" t="s">
        <v>78</v>
      </c>
      <c r="B70" s="20">
        <f>B55*B8*F8+B55*B9*F9</f>
        <v>20210000</v>
      </c>
    </row>
    <row r="71" spans="1:3" x14ac:dyDescent="0.25">
      <c r="A71" t="s">
        <v>79</v>
      </c>
      <c r="B71" s="20">
        <f>B55*C46</f>
        <v>10870395</v>
      </c>
    </row>
    <row r="72" spans="1:3" x14ac:dyDescent="0.25">
      <c r="B72" s="20"/>
    </row>
    <row r="73" spans="1:3" x14ac:dyDescent="0.25">
      <c r="A73" t="s">
        <v>80</v>
      </c>
    </row>
    <row r="74" spans="1:3" x14ac:dyDescent="0.25">
      <c r="A74" t="s">
        <v>81</v>
      </c>
      <c r="B74" s="20">
        <f>D18*D19</f>
        <v>100800000</v>
      </c>
      <c r="C74" s="20"/>
    </row>
    <row r="75" spans="1:3" x14ac:dyDescent="0.25">
      <c r="B75" s="20"/>
      <c r="C75" s="20"/>
    </row>
    <row r="76" spans="1:3" x14ac:dyDescent="0.25">
      <c r="A76" t="s">
        <v>1</v>
      </c>
      <c r="B76" s="20">
        <f>B55*C38</f>
        <v>23403650</v>
      </c>
      <c r="C76" s="20"/>
    </row>
    <row r="77" spans="1:3" x14ac:dyDescent="0.25">
      <c r="A77" t="s">
        <v>82</v>
      </c>
      <c r="B77" s="20">
        <f>B55*C42</f>
        <v>20210000</v>
      </c>
      <c r="C77" s="20"/>
    </row>
    <row r="78" spans="1:3" x14ac:dyDescent="0.25">
      <c r="A78" s="4" t="s">
        <v>83</v>
      </c>
      <c r="B78" s="14">
        <f>B71</f>
        <v>10870395</v>
      </c>
      <c r="C78" s="20"/>
    </row>
    <row r="79" spans="1:3" x14ac:dyDescent="0.25">
      <c r="A79" t="s">
        <v>84</v>
      </c>
      <c r="B79" s="20">
        <f>SUM(B76:B78)</f>
        <v>54484045</v>
      </c>
      <c r="C79" s="20"/>
    </row>
    <row r="80" spans="1:3" x14ac:dyDescent="0.25">
      <c r="A80" t="s">
        <v>85</v>
      </c>
      <c r="B80" s="20">
        <f>B48*B15-C48*D15</f>
        <v>1051932.5</v>
      </c>
      <c r="C80" s="20"/>
    </row>
    <row r="81" spans="1:3" x14ac:dyDescent="0.25">
      <c r="A81" s="4" t="s">
        <v>86</v>
      </c>
      <c r="B81" s="14">
        <f>B74*B24</f>
        <v>10080000</v>
      </c>
      <c r="C81" s="20"/>
    </row>
    <row r="82" spans="1:3" x14ac:dyDescent="0.25">
      <c r="A82" s="16" t="s">
        <v>87</v>
      </c>
      <c r="B82" s="17">
        <f>B79+B80+B81</f>
        <v>65615977.5</v>
      </c>
      <c r="C82" s="20"/>
    </row>
    <row r="83" spans="1:3" x14ac:dyDescent="0.25">
      <c r="A83" t="s">
        <v>55</v>
      </c>
      <c r="B83" s="20">
        <f>B74-B82</f>
        <v>35184022.5</v>
      </c>
      <c r="C83" s="20"/>
    </row>
    <row r="84" spans="1:3" x14ac:dyDescent="0.25">
      <c r="A84" t="s">
        <v>88</v>
      </c>
      <c r="B84" s="20">
        <f>D22+D23+D24</f>
        <v>18300000</v>
      </c>
      <c r="C84" s="20"/>
    </row>
    <row r="85" spans="1:3" x14ac:dyDescent="0.25">
      <c r="A85" s="4" t="s">
        <v>24</v>
      </c>
      <c r="B85" s="14">
        <f>B27</f>
        <v>6000000</v>
      </c>
      <c r="C85" s="20"/>
    </row>
    <row r="86" spans="1:3" x14ac:dyDescent="0.25">
      <c r="A86" t="s">
        <v>89</v>
      </c>
      <c r="B86" s="20">
        <f>B83-B84-B85</f>
        <v>10884022.5</v>
      </c>
      <c r="C86" s="20"/>
    </row>
    <row r="87" spans="1:3" x14ac:dyDescent="0.25">
      <c r="B87" s="20"/>
      <c r="C87" s="20"/>
    </row>
    <row r="88" spans="1:3" x14ac:dyDescent="0.25">
      <c r="B88" s="20"/>
      <c r="C88" s="20"/>
    </row>
    <row r="89" spans="1:3" x14ac:dyDescent="0.25">
      <c r="B89" s="20"/>
      <c r="C89" s="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B2" sqref="B2"/>
    </sheetView>
  </sheetViews>
  <sheetFormatPr baseColWidth="10" defaultRowHeight="15" x14ac:dyDescent="0.25"/>
  <cols>
    <col min="1" max="1" width="21.140625" customWidth="1"/>
    <col min="2" max="2" width="13.140625" customWidth="1"/>
  </cols>
  <sheetData>
    <row r="1" spans="1:7" x14ac:dyDescent="0.25">
      <c r="A1" t="s">
        <v>292</v>
      </c>
    </row>
    <row r="3" spans="1:7" x14ac:dyDescent="0.25">
      <c r="A3" s="4" t="s">
        <v>293</v>
      </c>
      <c r="B3" s="4"/>
    </row>
    <row r="4" spans="1:7" x14ac:dyDescent="0.25">
      <c r="A4" t="s">
        <v>283</v>
      </c>
      <c r="B4" s="20">
        <v>4000000</v>
      </c>
    </row>
    <row r="5" spans="1:7" x14ac:dyDescent="0.25">
      <c r="A5" s="4" t="s">
        <v>294</v>
      </c>
      <c r="B5" s="14">
        <v>2800000</v>
      </c>
    </row>
    <row r="6" spans="1:7" x14ac:dyDescent="0.25">
      <c r="A6" t="s">
        <v>295</v>
      </c>
      <c r="B6" s="20">
        <v>1200000</v>
      </c>
    </row>
    <row r="7" spans="1:7" x14ac:dyDescent="0.25">
      <c r="A7" t="s">
        <v>296</v>
      </c>
      <c r="B7" s="20">
        <v>600000</v>
      </c>
    </row>
    <row r="8" spans="1:7" x14ac:dyDescent="0.25">
      <c r="A8" t="s">
        <v>297</v>
      </c>
      <c r="B8" s="20">
        <v>200000</v>
      </c>
    </row>
    <row r="9" spans="1:7" x14ac:dyDescent="0.25">
      <c r="A9" t="s">
        <v>298</v>
      </c>
      <c r="B9" s="20">
        <v>100000</v>
      </c>
    </row>
    <row r="10" spans="1:7" x14ac:dyDescent="0.25">
      <c r="A10" s="4" t="s">
        <v>24</v>
      </c>
      <c r="B10" s="14">
        <v>40000</v>
      </c>
    </row>
    <row r="11" spans="1:7" x14ac:dyDescent="0.25">
      <c r="A11" t="s">
        <v>285</v>
      </c>
      <c r="B11" s="20">
        <v>260000</v>
      </c>
    </row>
    <row r="12" spans="1:7" x14ac:dyDescent="0.25">
      <c r="A12" s="4" t="s">
        <v>299</v>
      </c>
      <c r="B12" s="14">
        <v>120000</v>
      </c>
    </row>
    <row r="13" spans="1:7" x14ac:dyDescent="0.25">
      <c r="A13" t="s">
        <v>300</v>
      </c>
      <c r="B13" s="20">
        <v>140000</v>
      </c>
    </row>
    <row r="15" spans="1:7" x14ac:dyDescent="0.25">
      <c r="A15" s="4"/>
      <c r="B15" s="30" t="s">
        <v>302</v>
      </c>
      <c r="C15" s="30" t="s">
        <v>303</v>
      </c>
      <c r="D15" s="30" t="s">
        <v>304</v>
      </c>
      <c r="E15" s="30" t="s">
        <v>305</v>
      </c>
      <c r="F15" s="30" t="s">
        <v>306</v>
      </c>
      <c r="G15" s="30" t="s">
        <v>307</v>
      </c>
    </row>
    <row r="16" spans="1:7" x14ac:dyDescent="0.25">
      <c r="A16" t="s">
        <v>301</v>
      </c>
      <c r="B16" s="65">
        <v>0.1</v>
      </c>
      <c r="C16" s="65">
        <v>0.1</v>
      </c>
      <c r="D16" s="65">
        <v>0.3</v>
      </c>
      <c r="E16" s="65">
        <v>0.1</v>
      </c>
      <c r="F16" s="65">
        <v>0.15</v>
      </c>
      <c r="G16" s="65">
        <v>0.25</v>
      </c>
    </row>
    <row r="17" spans="1:10" x14ac:dyDescent="0.25">
      <c r="B17" s="1"/>
    </row>
    <row r="19" spans="1:10" x14ac:dyDescent="0.25">
      <c r="A19" s="4"/>
      <c r="B19" s="30" t="s">
        <v>302</v>
      </c>
      <c r="C19" s="30" t="s">
        <v>303</v>
      </c>
      <c r="D19" s="30" t="s">
        <v>304</v>
      </c>
      <c r="E19" s="30" t="s">
        <v>305</v>
      </c>
      <c r="F19" s="30" t="s">
        <v>306</v>
      </c>
      <c r="G19" s="30" t="s">
        <v>307</v>
      </c>
      <c r="H19" s="66" t="s">
        <v>112</v>
      </c>
    </row>
    <row r="20" spans="1:10" x14ac:dyDescent="0.25">
      <c r="A20" t="str">
        <f t="shared" ref="A20:A29" si="0">A4</f>
        <v>Salgsinntekter</v>
      </c>
      <c r="B20" s="20">
        <f>$B$4*B16</f>
        <v>400000</v>
      </c>
      <c r="C20" s="20">
        <f t="shared" ref="C20:G20" si="1">$B$4*C16</f>
        <v>400000</v>
      </c>
      <c r="D20" s="20">
        <f t="shared" si="1"/>
        <v>1200000</v>
      </c>
      <c r="E20" s="20">
        <f t="shared" si="1"/>
        <v>400000</v>
      </c>
      <c r="F20" s="20">
        <f t="shared" si="1"/>
        <v>600000</v>
      </c>
      <c r="G20" s="20">
        <f t="shared" si="1"/>
        <v>1000000</v>
      </c>
      <c r="H20" s="20">
        <f>SUM(B20:G20)</f>
        <v>4000000</v>
      </c>
    </row>
    <row r="21" spans="1:10" x14ac:dyDescent="0.25">
      <c r="A21" s="4" t="str">
        <f t="shared" si="0"/>
        <v>Vareforbruk</v>
      </c>
      <c r="B21" s="14">
        <f>$B$5*B16</f>
        <v>280000</v>
      </c>
      <c r="C21" s="14">
        <f t="shared" ref="C21:G21" si="2">$B$5*C16</f>
        <v>280000</v>
      </c>
      <c r="D21" s="14">
        <f t="shared" si="2"/>
        <v>840000</v>
      </c>
      <c r="E21" s="14">
        <f t="shared" si="2"/>
        <v>280000</v>
      </c>
      <c r="F21" s="14">
        <f t="shared" si="2"/>
        <v>420000</v>
      </c>
      <c r="G21" s="14">
        <f t="shared" si="2"/>
        <v>700000</v>
      </c>
      <c r="H21" s="14">
        <f t="shared" ref="H21:H29" si="3">SUM(B21:G21)</f>
        <v>2800000</v>
      </c>
    </row>
    <row r="22" spans="1:10" x14ac:dyDescent="0.25">
      <c r="A22" t="str">
        <f t="shared" si="0"/>
        <v>Bruttofortjeneste</v>
      </c>
      <c r="B22" s="20">
        <f>B20-B21</f>
        <v>120000</v>
      </c>
      <c r="C22" s="20">
        <f t="shared" ref="C22:G22" si="4">C20-C21</f>
        <v>120000</v>
      </c>
      <c r="D22" s="20">
        <f t="shared" si="4"/>
        <v>360000</v>
      </c>
      <c r="E22" s="20">
        <f t="shared" si="4"/>
        <v>120000</v>
      </c>
      <c r="F22" s="20">
        <f t="shared" si="4"/>
        <v>180000</v>
      </c>
      <c r="G22" s="20">
        <f t="shared" si="4"/>
        <v>300000</v>
      </c>
      <c r="H22" s="20">
        <f t="shared" si="3"/>
        <v>1200000</v>
      </c>
    </row>
    <row r="23" spans="1:10" x14ac:dyDescent="0.25">
      <c r="A23" t="str">
        <f t="shared" si="0"/>
        <v>Lønnskostnader</v>
      </c>
      <c r="B23" s="20">
        <f>$B$7/6</f>
        <v>100000</v>
      </c>
      <c r="C23" s="20">
        <f t="shared" ref="C23:G23" si="5">$B$7/6</f>
        <v>100000</v>
      </c>
      <c r="D23" s="20">
        <f t="shared" si="5"/>
        <v>100000</v>
      </c>
      <c r="E23" s="20">
        <f t="shared" si="5"/>
        <v>100000</v>
      </c>
      <c r="F23" s="20">
        <f t="shared" si="5"/>
        <v>100000</v>
      </c>
      <c r="G23" s="20">
        <f t="shared" si="5"/>
        <v>100000</v>
      </c>
      <c r="H23" s="20">
        <f t="shared" si="3"/>
        <v>600000</v>
      </c>
      <c r="I23" s="20"/>
      <c r="J23" s="20"/>
    </row>
    <row r="24" spans="1:10" x14ac:dyDescent="0.25">
      <c r="A24" t="str">
        <f t="shared" si="0"/>
        <v>Diverse adm. kostnader</v>
      </c>
      <c r="B24" s="20">
        <f>$B$8/6</f>
        <v>33333.333333333336</v>
      </c>
      <c r="C24" s="20">
        <f t="shared" ref="C24:G24" si="6">$B$8/6</f>
        <v>33333.333333333336</v>
      </c>
      <c r="D24" s="20">
        <f t="shared" si="6"/>
        <v>33333.333333333336</v>
      </c>
      <c r="E24" s="20">
        <f t="shared" si="6"/>
        <v>33333.333333333336</v>
      </c>
      <c r="F24" s="20">
        <f t="shared" si="6"/>
        <v>33333.333333333336</v>
      </c>
      <c r="G24" s="20">
        <f t="shared" si="6"/>
        <v>33333.333333333336</v>
      </c>
      <c r="H24" s="20">
        <f t="shared" si="3"/>
        <v>200000.00000000003</v>
      </c>
      <c r="I24" s="20"/>
      <c r="J24" s="20"/>
    </row>
    <row r="25" spans="1:10" x14ac:dyDescent="0.25">
      <c r="A25" t="str">
        <f t="shared" si="0"/>
        <v>Husleie</v>
      </c>
      <c r="B25" s="20">
        <f>$B$9/6</f>
        <v>16666.666666666668</v>
      </c>
      <c r="C25" s="20">
        <f t="shared" ref="C25:G25" si="7">$B$9/6</f>
        <v>16666.666666666668</v>
      </c>
      <c r="D25" s="20">
        <f t="shared" si="7"/>
        <v>16666.666666666668</v>
      </c>
      <c r="E25" s="20">
        <f t="shared" si="7"/>
        <v>16666.666666666668</v>
      </c>
      <c r="F25" s="20">
        <f t="shared" si="7"/>
        <v>16666.666666666668</v>
      </c>
      <c r="G25" s="20">
        <f t="shared" si="7"/>
        <v>16666.666666666668</v>
      </c>
      <c r="H25" s="20">
        <f t="shared" si="3"/>
        <v>100000.00000000001</v>
      </c>
      <c r="I25" s="20"/>
      <c r="J25" s="20"/>
    </row>
    <row r="26" spans="1:10" x14ac:dyDescent="0.25">
      <c r="A26" s="4" t="str">
        <f t="shared" si="0"/>
        <v>Avskrivninger</v>
      </c>
      <c r="B26" s="14">
        <f>$B$10/6</f>
        <v>6666.666666666667</v>
      </c>
      <c r="C26" s="14">
        <f t="shared" ref="C26:G26" si="8">$B$10/6</f>
        <v>6666.666666666667</v>
      </c>
      <c r="D26" s="14">
        <f t="shared" si="8"/>
        <v>6666.666666666667</v>
      </c>
      <c r="E26" s="14">
        <f t="shared" si="8"/>
        <v>6666.666666666667</v>
      </c>
      <c r="F26" s="14">
        <f t="shared" si="8"/>
        <v>6666.666666666667</v>
      </c>
      <c r="G26" s="14">
        <f t="shared" si="8"/>
        <v>6666.666666666667</v>
      </c>
      <c r="H26" s="14">
        <f t="shared" si="3"/>
        <v>40000</v>
      </c>
      <c r="I26" s="20"/>
      <c r="J26" s="20"/>
    </row>
    <row r="27" spans="1:10" x14ac:dyDescent="0.25">
      <c r="A27" t="str">
        <f t="shared" si="0"/>
        <v>Driftsresultat</v>
      </c>
      <c r="B27" s="20">
        <f>B22-SUM(B23:B26)</f>
        <v>-36666.666666666657</v>
      </c>
      <c r="C27" s="20">
        <f t="shared" ref="C27:G27" si="9">C22-SUM(C23:C26)</f>
        <v>-36666.666666666657</v>
      </c>
      <c r="D27" s="20">
        <f t="shared" si="9"/>
        <v>203333.33333333334</v>
      </c>
      <c r="E27" s="20">
        <f t="shared" si="9"/>
        <v>-36666.666666666657</v>
      </c>
      <c r="F27" s="20">
        <f t="shared" si="9"/>
        <v>23333.333333333343</v>
      </c>
      <c r="G27" s="20">
        <f t="shared" si="9"/>
        <v>143333.33333333334</v>
      </c>
      <c r="H27" s="20">
        <f t="shared" si="3"/>
        <v>260000.00000000006</v>
      </c>
    </row>
    <row r="28" spans="1:10" x14ac:dyDescent="0.25">
      <c r="A28" s="4" t="str">
        <f t="shared" si="0"/>
        <v>Netto finansposter</v>
      </c>
      <c r="B28" s="14">
        <f>$B$12/6</f>
        <v>20000</v>
      </c>
      <c r="C28" s="14">
        <f t="shared" ref="C28:G28" si="10">$B$12/6</f>
        <v>20000</v>
      </c>
      <c r="D28" s="14">
        <f t="shared" si="10"/>
        <v>20000</v>
      </c>
      <c r="E28" s="14">
        <f t="shared" si="10"/>
        <v>20000</v>
      </c>
      <c r="F28" s="14">
        <f t="shared" si="10"/>
        <v>20000</v>
      </c>
      <c r="G28" s="14">
        <f t="shared" si="10"/>
        <v>20000</v>
      </c>
      <c r="H28" s="14">
        <f t="shared" si="3"/>
        <v>120000</v>
      </c>
    </row>
    <row r="29" spans="1:10" x14ac:dyDescent="0.25">
      <c r="A29" t="str">
        <f t="shared" si="0"/>
        <v>Resultat før skatt</v>
      </c>
      <c r="B29" s="20">
        <f>B27-B28</f>
        <v>-56666.666666666657</v>
      </c>
      <c r="C29" s="20">
        <f t="shared" ref="C29:G29" si="11">C27-C28</f>
        <v>-56666.666666666657</v>
      </c>
      <c r="D29" s="20">
        <f t="shared" si="11"/>
        <v>183333.33333333334</v>
      </c>
      <c r="E29" s="20">
        <f t="shared" si="11"/>
        <v>-56666.666666666657</v>
      </c>
      <c r="F29" s="20">
        <f t="shared" si="11"/>
        <v>3333.333333333343</v>
      </c>
      <c r="G29" s="20">
        <f t="shared" si="11"/>
        <v>123333.33333333334</v>
      </c>
      <c r="H29" s="20">
        <f t="shared" si="3"/>
        <v>140000.00000000006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="115" zoomScaleNormal="115" workbookViewId="0">
      <selection activeCell="C12" sqref="C12"/>
    </sheetView>
  </sheetViews>
  <sheetFormatPr baseColWidth="10" defaultRowHeight="15" x14ac:dyDescent="0.25"/>
  <cols>
    <col min="1" max="1" width="24.28515625" customWidth="1"/>
    <col min="2" max="2" width="16.28515625" customWidth="1"/>
    <col min="3" max="3" width="14.5703125" customWidth="1"/>
    <col min="4" max="4" width="15.140625" customWidth="1"/>
    <col min="5" max="5" width="15.42578125" customWidth="1"/>
    <col min="6" max="6" width="13.5703125" customWidth="1"/>
  </cols>
  <sheetData>
    <row r="1" spans="1:3" x14ac:dyDescent="0.25">
      <c r="A1" t="s">
        <v>308</v>
      </c>
    </row>
    <row r="3" spans="1:3" x14ac:dyDescent="0.25">
      <c r="A3" s="4" t="s">
        <v>309</v>
      </c>
      <c r="B3" s="4"/>
    </row>
    <row r="4" spans="1:3" x14ac:dyDescent="0.25">
      <c r="A4" t="s">
        <v>81</v>
      </c>
      <c r="B4" s="20">
        <v>32300000</v>
      </c>
    </row>
    <row r="5" spans="1:3" x14ac:dyDescent="0.25">
      <c r="A5" t="s">
        <v>310</v>
      </c>
      <c r="B5" s="22">
        <v>160000</v>
      </c>
      <c r="C5" t="s">
        <v>75</v>
      </c>
    </row>
    <row r="7" spans="1:3" x14ac:dyDescent="0.25">
      <c r="A7" s="4" t="s">
        <v>311</v>
      </c>
      <c r="B7" s="4"/>
    </row>
    <row r="8" spans="1:3" x14ac:dyDescent="0.25">
      <c r="A8" s="50" t="s">
        <v>284</v>
      </c>
      <c r="B8" s="15">
        <v>35</v>
      </c>
    </row>
    <row r="9" spans="1:3" x14ac:dyDescent="0.25">
      <c r="A9" s="50" t="s">
        <v>82</v>
      </c>
      <c r="B9" s="15">
        <v>80</v>
      </c>
    </row>
    <row r="10" spans="1:3" x14ac:dyDescent="0.25">
      <c r="A10" s="62" t="s">
        <v>275</v>
      </c>
      <c r="B10" s="13">
        <v>5</v>
      </c>
    </row>
    <row r="11" spans="1:3" x14ac:dyDescent="0.25">
      <c r="A11" s="50" t="s">
        <v>312</v>
      </c>
      <c r="B11" s="15">
        <f>SUM(B8:B10)</f>
        <v>120</v>
      </c>
    </row>
    <row r="12" spans="1:3" x14ac:dyDescent="0.25">
      <c r="A12" s="50"/>
      <c r="B12" s="15"/>
    </row>
    <row r="13" spans="1:3" x14ac:dyDescent="0.25">
      <c r="A13" s="50" t="s">
        <v>271</v>
      </c>
      <c r="B13" s="15">
        <v>190</v>
      </c>
    </row>
    <row r="14" spans="1:3" x14ac:dyDescent="0.25">
      <c r="A14" s="50" t="s">
        <v>326</v>
      </c>
      <c r="B14" s="22">
        <v>226</v>
      </c>
    </row>
    <row r="15" spans="1:3" x14ac:dyDescent="0.25">
      <c r="A15" s="50" t="s">
        <v>327</v>
      </c>
      <c r="B15" s="15">
        <v>4</v>
      </c>
    </row>
    <row r="17" spans="1:5" x14ac:dyDescent="0.25">
      <c r="A17" s="4"/>
      <c r="B17" s="30" t="s">
        <v>186</v>
      </c>
      <c r="C17" s="30" t="s">
        <v>187</v>
      </c>
      <c r="D17" s="30" t="s">
        <v>188</v>
      </c>
      <c r="E17" s="66" t="s">
        <v>314</v>
      </c>
    </row>
    <row r="18" spans="1:5" x14ac:dyDescent="0.25">
      <c r="A18" t="s">
        <v>313</v>
      </c>
      <c r="B18" s="63">
        <v>0.03</v>
      </c>
      <c r="C18" s="63">
        <v>0.1</v>
      </c>
      <c r="D18" s="63">
        <v>0.1</v>
      </c>
      <c r="E18" s="63">
        <f>SUM(B18:D18)</f>
        <v>0.23</v>
      </c>
    </row>
    <row r="21" spans="1:5" x14ac:dyDescent="0.25">
      <c r="A21" s="4" t="s">
        <v>209</v>
      </c>
      <c r="B21" s="30" t="str">
        <f>B17</f>
        <v>Juli</v>
      </c>
      <c r="C21" s="30" t="str">
        <f t="shared" ref="C21:E21" si="0">C17</f>
        <v>August</v>
      </c>
      <c r="D21" s="30" t="str">
        <f t="shared" si="0"/>
        <v>September</v>
      </c>
      <c r="E21" s="30" t="str">
        <f t="shared" si="0"/>
        <v xml:space="preserve"> 3. kvartal</v>
      </c>
    </row>
    <row r="22" spans="1:5" x14ac:dyDescent="0.25">
      <c r="A22" t="s">
        <v>283</v>
      </c>
      <c r="B22" s="20">
        <f>$B$4*B18</f>
        <v>969000</v>
      </c>
      <c r="C22" s="20">
        <f t="shared" ref="C22:D22" si="1">$B$4*C18</f>
        <v>3230000</v>
      </c>
      <c r="D22" s="20">
        <f t="shared" si="1"/>
        <v>3230000</v>
      </c>
      <c r="E22" s="20">
        <f>SUM(B22:D22)</f>
        <v>7429000</v>
      </c>
    </row>
    <row r="23" spans="1:5" x14ac:dyDescent="0.25">
      <c r="A23" s="4" t="s">
        <v>315</v>
      </c>
      <c r="B23" s="60">
        <f>B22/$B$13</f>
        <v>5100</v>
      </c>
      <c r="C23" s="60">
        <f t="shared" ref="C23:E23" si="2">C22/$B$13</f>
        <v>17000</v>
      </c>
      <c r="D23" s="60">
        <f t="shared" si="2"/>
        <v>17000</v>
      </c>
      <c r="E23" s="60">
        <f t="shared" si="2"/>
        <v>39100</v>
      </c>
    </row>
    <row r="25" spans="1:5" x14ac:dyDescent="0.25">
      <c r="A25" s="4"/>
      <c r="B25" s="30" t="str">
        <f>B17</f>
        <v>Juli</v>
      </c>
      <c r="C25" s="30" t="str">
        <f t="shared" ref="C25:E25" si="3">C17</f>
        <v>August</v>
      </c>
      <c r="D25" s="30" t="str">
        <f t="shared" si="3"/>
        <v>September</v>
      </c>
      <c r="E25" s="30" t="str">
        <f t="shared" si="3"/>
        <v xml:space="preserve"> 3. kvartal</v>
      </c>
    </row>
    <row r="26" spans="1:5" x14ac:dyDescent="0.25">
      <c r="A26" s="50" t="s">
        <v>317</v>
      </c>
      <c r="B26">
        <v>4</v>
      </c>
      <c r="C26">
        <v>20</v>
      </c>
      <c r="D26">
        <v>22</v>
      </c>
      <c r="E26">
        <f>SUM(B26:D26)</f>
        <v>46</v>
      </c>
    </row>
    <row r="27" spans="1:5" x14ac:dyDescent="0.25">
      <c r="A27" s="50" t="s">
        <v>316</v>
      </c>
      <c r="B27" s="59">
        <f>B26/$B$14</f>
        <v>1.7699115044247787E-2</v>
      </c>
      <c r="C27" s="59">
        <f t="shared" ref="C27:E27" si="4">C26/$B$14</f>
        <v>8.8495575221238937E-2</v>
      </c>
      <c r="D27" s="59">
        <f t="shared" si="4"/>
        <v>9.7345132743362831E-2</v>
      </c>
      <c r="E27" s="59">
        <f t="shared" si="4"/>
        <v>0.20353982300884957</v>
      </c>
    </row>
    <row r="28" spans="1:5" x14ac:dyDescent="0.25">
      <c r="A28" s="62" t="s">
        <v>318</v>
      </c>
      <c r="B28" s="55">
        <f>$B$5*B27</f>
        <v>2831.858407079646</v>
      </c>
      <c r="C28" s="55">
        <f>$B$5*C27</f>
        <v>14159.29203539823</v>
      </c>
      <c r="D28" s="55">
        <f>$B$5*D27</f>
        <v>15575.221238938053</v>
      </c>
      <c r="E28" s="55">
        <f>$B$5*E27</f>
        <v>32566.371681415931</v>
      </c>
    </row>
    <row r="30" spans="1:5" x14ac:dyDescent="0.25">
      <c r="A30" s="4"/>
      <c r="B30" s="30" t="str">
        <f>B17</f>
        <v>Juli</v>
      </c>
      <c r="C30" s="30" t="str">
        <f t="shared" ref="C30:E30" si="5">C17</f>
        <v>August</v>
      </c>
      <c r="D30" s="30" t="str">
        <f t="shared" si="5"/>
        <v>September</v>
      </c>
      <c r="E30" s="30" t="str">
        <f t="shared" si="5"/>
        <v xml:space="preserve"> 3. kvartal</v>
      </c>
    </row>
    <row r="31" spans="1:5" x14ac:dyDescent="0.25">
      <c r="A31" t="str">
        <f>A23</f>
        <v>Salg, antall enheter</v>
      </c>
      <c r="B31" s="53">
        <f>B23</f>
        <v>5100</v>
      </c>
      <c r="C31" s="53">
        <f t="shared" ref="C31:E31" si="6">C23</f>
        <v>17000</v>
      </c>
      <c r="D31" s="53">
        <f t="shared" si="6"/>
        <v>17000</v>
      </c>
      <c r="E31" s="53">
        <f t="shared" si="6"/>
        <v>39100</v>
      </c>
    </row>
    <row r="32" spans="1:5" x14ac:dyDescent="0.25">
      <c r="A32" s="4" t="str">
        <f>A28</f>
        <v>Tilvirkning, antall</v>
      </c>
      <c r="B32" s="60">
        <f>B28</f>
        <v>2831.858407079646</v>
      </c>
      <c r="C32" s="60">
        <f t="shared" ref="C32:E32" si="7">C28</f>
        <v>14159.29203539823</v>
      </c>
      <c r="D32" s="60">
        <f t="shared" si="7"/>
        <v>15575.221238938053</v>
      </c>
      <c r="E32" s="60">
        <f t="shared" si="7"/>
        <v>32566.371681415931</v>
      </c>
    </row>
    <row r="33" spans="1:6" x14ac:dyDescent="0.25">
      <c r="A33" t="s">
        <v>319</v>
      </c>
      <c r="B33" s="53">
        <f>B32-B31</f>
        <v>-2268.141592920354</v>
      </c>
      <c r="C33" s="53">
        <f t="shared" ref="C33:E33" si="8">C32-C31</f>
        <v>-2840.7079646017701</v>
      </c>
      <c r="D33" s="53">
        <f t="shared" si="8"/>
        <v>-1424.7787610619471</v>
      </c>
      <c r="E33" s="53">
        <f t="shared" si="8"/>
        <v>-6533.6283185840693</v>
      </c>
    </row>
    <row r="34" spans="1:6" x14ac:dyDescent="0.25">
      <c r="A34" s="4" t="s">
        <v>320</v>
      </c>
      <c r="B34" s="14">
        <f>B33*$B$11</f>
        <v>-272176.99115044251</v>
      </c>
      <c r="C34" s="14">
        <f t="shared" ref="C34:E34" si="9">C33*$B$11</f>
        <v>-340884.95575221244</v>
      </c>
      <c r="D34" s="14">
        <f t="shared" si="9"/>
        <v>-170973.45132743364</v>
      </c>
      <c r="E34" s="14">
        <f t="shared" si="9"/>
        <v>-784035.39823008829</v>
      </c>
    </row>
    <row r="37" spans="1:6" x14ac:dyDescent="0.25">
      <c r="A37" s="4" t="s">
        <v>321</v>
      </c>
      <c r="B37" s="30" t="str">
        <f>B21</f>
        <v>Juli</v>
      </c>
      <c r="C37" s="30" t="str">
        <f t="shared" ref="C37:E37" si="10">C21</f>
        <v>August</v>
      </c>
      <c r="D37" s="30" t="str">
        <f t="shared" si="10"/>
        <v>September</v>
      </c>
      <c r="E37" s="30" t="str">
        <f t="shared" si="10"/>
        <v xml:space="preserve"> 3. kvartal</v>
      </c>
    </row>
    <row r="38" spans="1:6" x14ac:dyDescent="0.25">
      <c r="A38" s="50" t="s">
        <v>81</v>
      </c>
      <c r="B38" s="20">
        <f>B31*$B$13</f>
        <v>969000</v>
      </c>
      <c r="C38" s="20">
        <f t="shared" ref="C38:E38" si="11">C31*$B$13</f>
        <v>3230000</v>
      </c>
      <c r="D38" s="20">
        <f t="shared" si="11"/>
        <v>3230000</v>
      </c>
      <c r="E38" s="20">
        <f t="shared" si="11"/>
        <v>7429000</v>
      </c>
    </row>
    <row r="39" spans="1:6" x14ac:dyDescent="0.25">
      <c r="A39" s="50" t="s">
        <v>284</v>
      </c>
      <c r="B39" s="20">
        <f>B32*$B$8</f>
        <v>99115.044247787606</v>
      </c>
      <c r="C39" s="20">
        <f t="shared" ref="C39:E39" si="12">C32*$B$8</f>
        <v>495575.22123893804</v>
      </c>
      <c r="D39" s="20">
        <f t="shared" si="12"/>
        <v>545132.74336283188</v>
      </c>
      <c r="E39" s="20">
        <f t="shared" si="12"/>
        <v>1139823.0088495575</v>
      </c>
    </row>
    <row r="40" spans="1:6" x14ac:dyDescent="0.25">
      <c r="A40" s="50" t="s">
        <v>82</v>
      </c>
      <c r="B40" s="20">
        <f>B32*$B$9</f>
        <v>226548.67256637168</v>
      </c>
      <c r="C40" s="20">
        <f t="shared" ref="C40:E40" si="13">C32*$B$9</f>
        <v>1132743.3628318585</v>
      </c>
      <c r="D40" s="20">
        <f t="shared" si="13"/>
        <v>1246017.6991150442</v>
      </c>
      <c r="E40" s="20">
        <f t="shared" si="13"/>
        <v>2605309.7345132744</v>
      </c>
    </row>
    <row r="41" spans="1:6" x14ac:dyDescent="0.25">
      <c r="A41" s="62" t="s">
        <v>275</v>
      </c>
      <c r="B41" s="14">
        <f>B32*$B$10</f>
        <v>14159.29203539823</v>
      </c>
      <c r="C41" s="14">
        <f t="shared" ref="C41:E41" si="14">C32*$B$10</f>
        <v>70796.460176991153</v>
      </c>
      <c r="D41" s="14">
        <f t="shared" si="14"/>
        <v>77876.106194690263</v>
      </c>
      <c r="E41" s="14">
        <f t="shared" si="14"/>
        <v>162831.85840707965</v>
      </c>
    </row>
    <row r="42" spans="1:6" x14ac:dyDescent="0.25">
      <c r="A42" s="50" t="s">
        <v>322</v>
      </c>
      <c r="B42" s="20">
        <f>SUM(B39:B41)</f>
        <v>339823.00884955755</v>
      </c>
      <c r="C42" s="20">
        <f t="shared" ref="C42:E42" si="15">SUM(C39:C41)</f>
        <v>1699115.0442477877</v>
      </c>
      <c r="D42" s="20">
        <f t="shared" si="15"/>
        <v>1869026.5486725664</v>
      </c>
      <c r="E42" s="20">
        <f t="shared" si="15"/>
        <v>3907964.6017699116</v>
      </c>
    </row>
    <row r="43" spans="1:6" x14ac:dyDescent="0.25">
      <c r="A43" s="62" t="s">
        <v>323</v>
      </c>
      <c r="B43" s="14">
        <f>-B34</f>
        <v>272176.99115044251</v>
      </c>
      <c r="C43" s="14">
        <f t="shared" ref="C43:E43" si="16">-C34</f>
        <v>340884.95575221244</v>
      </c>
      <c r="D43" s="14">
        <f t="shared" si="16"/>
        <v>170973.45132743364</v>
      </c>
      <c r="E43" s="14">
        <f t="shared" si="16"/>
        <v>784035.39823008829</v>
      </c>
    </row>
    <row r="44" spans="1:6" x14ac:dyDescent="0.25">
      <c r="A44" s="50" t="s">
        <v>324</v>
      </c>
      <c r="B44" s="20">
        <f>B42+B43</f>
        <v>612000</v>
      </c>
      <c r="C44" s="20">
        <f t="shared" ref="C44:E44" si="17">C42+C43</f>
        <v>2040000</v>
      </c>
      <c r="D44" s="20">
        <f t="shared" si="17"/>
        <v>2040000</v>
      </c>
      <c r="E44" s="20">
        <f t="shared" si="17"/>
        <v>4692000</v>
      </c>
    </row>
    <row r="45" spans="1:6" x14ac:dyDescent="0.25">
      <c r="A45" s="62" t="s">
        <v>325</v>
      </c>
      <c r="B45" s="14">
        <f>B31*$B$15</f>
        <v>20400</v>
      </c>
      <c r="C45" s="14">
        <f t="shared" ref="C45:E45" si="18">C31*$B$15</f>
        <v>68000</v>
      </c>
      <c r="D45" s="14">
        <f t="shared" si="18"/>
        <v>68000</v>
      </c>
      <c r="E45" s="14">
        <f t="shared" si="18"/>
        <v>156400</v>
      </c>
    </row>
    <row r="46" spans="1:6" x14ac:dyDescent="0.25">
      <c r="A46" s="57" t="s">
        <v>53</v>
      </c>
      <c r="B46" s="17">
        <f>B44+B45</f>
        <v>632400</v>
      </c>
      <c r="C46" s="17">
        <f t="shared" ref="C46:E46" si="19">C44+C45</f>
        <v>2108000</v>
      </c>
      <c r="D46" s="17">
        <f t="shared" si="19"/>
        <v>2108000</v>
      </c>
      <c r="E46" s="17">
        <f t="shared" si="19"/>
        <v>4848400</v>
      </c>
    </row>
    <row r="47" spans="1:6" x14ac:dyDescent="0.25">
      <c r="A47" s="50" t="s">
        <v>55</v>
      </c>
      <c r="B47" s="20">
        <f>B38-B46</f>
        <v>336600</v>
      </c>
      <c r="C47" s="20">
        <f t="shared" ref="C47:E47" si="20">C38-C46</f>
        <v>1122000</v>
      </c>
      <c r="D47" s="20">
        <f t="shared" si="20"/>
        <v>1122000</v>
      </c>
      <c r="E47" s="20">
        <f t="shared" si="20"/>
        <v>2580600</v>
      </c>
    </row>
    <row r="48" spans="1:6" x14ac:dyDescent="0.25">
      <c r="A48" s="50" t="s">
        <v>328</v>
      </c>
      <c r="B48" s="20"/>
      <c r="C48" s="20"/>
      <c r="D48" s="20"/>
      <c r="E48" s="20"/>
      <c r="F48" s="67" t="s">
        <v>337</v>
      </c>
    </row>
    <row r="49" spans="1:8" x14ac:dyDescent="0.25">
      <c r="A49" s="50" t="s">
        <v>329</v>
      </c>
      <c r="B49" s="20">
        <f>B27*$F$49</f>
        <v>12389.380530973451</v>
      </c>
      <c r="C49" s="20">
        <f t="shared" ref="C49:E49" si="21">C27*$F$49</f>
        <v>61946.902654867255</v>
      </c>
      <c r="D49" s="20">
        <f t="shared" si="21"/>
        <v>68141.592920353985</v>
      </c>
      <c r="E49" s="20">
        <f t="shared" si="21"/>
        <v>142477.87610619469</v>
      </c>
      <c r="F49" s="68">
        <v>700000</v>
      </c>
    </row>
    <row r="50" spans="1:8" x14ac:dyDescent="0.25">
      <c r="A50" s="50" t="s">
        <v>330</v>
      </c>
      <c r="B50" s="20">
        <f>B27*$F$50</f>
        <v>8849.5575221238942</v>
      </c>
      <c r="C50" s="20">
        <f t="shared" ref="C50:E50" si="22">C27*$F$50</f>
        <v>44247.787610619467</v>
      </c>
      <c r="D50" s="20">
        <f t="shared" si="22"/>
        <v>48672.566371681416</v>
      </c>
      <c r="E50" s="20">
        <f t="shared" si="22"/>
        <v>101769.91150442479</v>
      </c>
      <c r="F50" s="46">
        <v>500000</v>
      </c>
    </row>
    <row r="51" spans="1:8" x14ac:dyDescent="0.25">
      <c r="A51" s="50" t="s">
        <v>331</v>
      </c>
      <c r="B51" s="20">
        <f>$F$51/12</f>
        <v>66666.666666666672</v>
      </c>
      <c r="C51" s="20">
        <f t="shared" ref="C51:D51" si="23">$F$51/12</f>
        <v>66666.666666666672</v>
      </c>
      <c r="D51" s="20">
        <f t="shared" si="23"/>
        <v>66666.666666666672</v>
      </c>
      <c r="E51" s="20">
        <f>SUM(B51:D51)</f>
        <v>200000</v>
      </c>
      <c r="F51" s="46">
        <v>800000</v>
      </c>
    </row>
    <row r="52" spans="1:8" x14ac:dyDescent="0.25">
      <c r="A52" s="50" t="s">
        <v>332</v>
      </c>
      <c r="B52" s="20">
        <f>$F$52/12</f>
        <v>41666.666666666664</v>
      </c>
      <c r="C52" s="20">
        <f t="shared" ref="C52:D52" si="24">$F$52/12</f>
        <v>41666.666666666664</v>
      </c>
      <c r="D52" s="20">
        <f t="shared" si="24"/>
        <v>41666.666666666664</v>
      </c>
      <c r="E52" s="20">
        <f t="shared" ref="E52:E58" si="25">SUM(B52:D52)</f>
        <v>125000</v>
      </c>
      <c r="F52" s="46">
        <v>500000</v>
      </c>
      <c r="H52" s="20"/>
    </row>
    <row r="53" spans="1:8" x14ac:dyDescent="0.25">
      <c r="A53" s="50" t="s">
        <v>333</v>
      </c>
      <c r="B53" s="20">
        <f>$F$53/12</f>
        <v>33333.333333333336</v>
      </c>
      <c r="C53" s="20">
        <f t="shared" ref="C53:D53" si="26">$F$53/12</f>
        <v>33333.333333333336</v>
      </c>
      <c r="D53" s="20">
        <f t="shared" si="26"/>
        <v>33333.333333333336</v>
      </c>
      <c r="E53" s="20">
        <f t="shared" si="25"/>
        <v>100000</v>
      </c>
      <c r="F53" s="46">
        <v>400000</v>
      </c>
    </row>
    <row r="54" spans="1:8" x14ac:dyDescent="0.25">
      <c r="A54" s="50" t="s">
        <v>334</v>
      </c>
      <c r="B54" s="20">
        <f>$F$54/12</f>
        <v>16666.666666666668</v>
      </c>
      <c r="C54" s="20">
        <f t="shared" ref="C54:D54" si="27">$F$54/12</f>
        <v>16666.666666666668</v>
      </c>
      <c r="D54" s="20">
        <f t="shared" si="27"/>
        <v>16666.666666666668</v>
      </c>
      <c r="E54" s="20">
        <f t="shared" si="25"/>
        <v>50000</v>
      </c>
      <c r="F54" s="46">
        <v>200000</v>
      </c>
    </row>
    <row r="55" spans="1:8" x14ac:dyDescent="0.25">
      <c r="A55" s="50" t="s">
        <v>296</v>
      </c>
      <c r="B55" s="20">
        <f>$F$55/12</f>
        <v>350000</v>
      </c>
      <c r="C55" s="20">
        <f t="shared" ref="C55:D55" si="28">$F$55/12</f>
        <v>350000</v>
      </c>
      <c r="D55" s="20">
        <f t="shared" si="28"/>
        <v>350000</v>
      </c>
      <c r="E55" s="20">
        <f t="shared" si="25"/>
        <v>1050000</v>
      </c>
      <c r="F55" s="46">
        <v>4200000</v>
      </c>
    </row>
    <row r="56" spans="1:8" x14ac:dyDescent="0.25">
      <c r="A56" s="50" t="s">
        <v>335</v>
      </c>
      <c r="B56" s="20">
        <f>$F$56/12</f>
        <v>3333.3333333333335</v>
      </c>
      <c r="C56" s="20">
        <f t="shared" ref="C56:D56" si="29">$F$56/12</f>
        <v>3333.3333333333335</v>
      </c>
      <c r="D56" s="20">
        <f t="shared" si="29"/>
        <v>3333.3333333333335</v>
      </c>
      <c r="E56" s="20">
        <f t="shared" si="25"/>
        <v>10000</v>
      </c>
      <c r="F56" s="46">
        <v>40000</v>
      </c>
    </row>
    <row r="57" spans="1:8" x14ac:dyDescent="0.25">
      <c r="A57" s="50" t="s">
        <v>336</v>
      </c>
      <c r="B57" s="20">
        <f>$F$57/12</f>
        <v>15000</v>
      </c>
      <c r="C57" s="20">
        <f t="shared" ref="C57:D57" si="30">$F$57/12</f>
        <v>15000</v>
      </c>
      <c r="D57" s="20">
        <f t="shared" si="30"/>
        <v>15000</v>
      </c>
      <c r="E57" s="20">
        <f t="shared" si="25"/>
        <v>45000</v>
      </c>
      <c r="F57" s="46">
        <v>180000</v>
      </c>
    </row>
    <row r="58" spans="1:8" x14ac:dyDescent="0.25">
      <c r="A58" s="62" t="s">
        <v>24</v>
      </c>
      <c r="B58" s="14">
        <f>$F$58/12</f>
        <v>91666.666666666672</v>
      </c>
      <c r="C58" s="14">
        <f t="shared" ref="C58:D58" si="31">$F$58/12</f>
        <v>91666.666666666672</v>
      </c>
      <c r="D58" s="14">
        <f t="shared" si="31"/>
        <v>91666.666666666672</v>
      </c>
      <c r="E58" s="14">
        <f t="shared" si="25"/>
        <v>275000</v>
      </c>
      <c r="F58" s="46">
        <v>1100000</v>
      </c>
    </row>
    <row r="59" spans="1:8" x14ac:dyDescent="0.25">
      <c r="A59" s="50" t="s">
        <v>285</v>
      </c>
      <c r="B59" s="20">
        <f>B47-SUM(B49:B58)</f>
        <v>-302972.27138643072</v>
      </c>
      <c r="C59" s="20">
        <f t="shared" ref="C59:E59" si="32">C47-SUM(C49:C58)</f>
        <v>397471.97640117991</v>
      </c>
      <c r="D59" s="20">
        <f t="shared" si="32"/>
        <v>386852.50737463124</v>
      </c>
      <c r="E59" s="20">
        <f t="shared" si="32"/>
        <v>481352.21238938067</v>
      </c>
      <c r="F59" s="46"/>
    </row>
    <row r="60" spans="1:8" x14ac:dyDescent="0.25">
      <c r="A60" s="50" t="s">
        <v>338</v>
      </c>
      <c r="B60" s="20"/>
      <c r="C60" s="20"/>
      <c r="D60" s="20"/>
      <c r="E60" s="20"/>
      <c r="F60" s="46"/>
    </row>
    <row r="61" spans="1:8" x14ac:dyDescent="0.25">
      <c r="A61" s="50" t="s">
        <v>339</v>
      </c>
      <c r="B61" s="20">
        <f>$F$61/12</f>
        <v>33333.333333333336</v>
      </c>
      <c r="C61" s="20">
        <f t="shared" ref="C61:D61" si="33">$F$61/12</f>
        <v>33333.333333333336</v>
      </c>
      <c r="D61" s="20">
        <f t="shared" si="33"/>
        <v>33333.333333333336</v>
      </c>
      <c r="E61" s="20">
        <f>SUM(B61:D61)</f>
        <v>100000</v>
      </c>
      <c r="F61" s="46">
        <v>400000</v>
      </c>
      <c r="G61" s="20"/>
    </row>
    <row r="62" spans="1:8" x14ac:dyDescent="0.25">
      <c r="A62" s="62" t="s">
        <v>340</v>
      </c>
      <c r="B62" s="14">
        <f>$F$62/12</f>
        <v>25000</v>
      </c>
      <c r="C62" s="14">
        <f t="shared" ref="C62:D62" si="34">$F$62/12</f>
        <v>25000</v>
      </c>
      <c r="D62" s="14">
        <f t="shared" si="34"/>
        <v>25000</v>
      </c>
      <c r="E62" s="32">
        <f>SUM(B62:D62)</f>
        <v>75000</v>
      </c>
      <c r="F62" s="47">
        <v>300000</v>
      </c>
      <c r="G62" s="20"/>
    </row>
    <row r="63" spans="1:8" x14ac:dyDescent="0.25">
      <c r="A63" s="50" t="s">
        <v>341</v>
      </c>
      <c r="B63" s="20">
        <f>B59-B61-B62</f>
        <v>-361305.60471976403</v>
      </c>
      <c r="C63" s="20">
        <f t="shared" ref="C63:E63" si="35">C59-C61-C62</f>
        <v>339138.6430678466</v>
      </c>
      <c r="D63" s="20">
        <f t="shared" si="35"/>
        <v>328519.17404129793</v>
      </c>
      <c r="E63" s="20">
        <f t="shared" si="35"/>
        <v>306352.21238938067</v>
      </c>
      <c r="F63" s="20"/>
      <c r="G63" s="20"/>
    </row>
    <row r="64" spans="1:8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</row>
    <row r="68" spans="2:7" x14ac:dyDescent="0.25">
      <c r="B68" s="20"/>
      <c r="C68" s="20"/>
      <c r="D68" s="20"/>
      <c r="E68" s="20"/>
      <c r="F68" s="20"/>
    </row>
    <row r="69" spans="2:7" x14ac:dyDescent="0.25">
      <c r="B69" s="20"/>
      <c r="C69" s="20"/>
      <c r="D69" s="20"/>
      <c r="E69" s="20"/>
      <c r="F69" s="20"/>
    </row>
    <row r="70" spans="2:7" x14ac:dyDescent="0.25">
      <c r="B70" s="20"/>
      <c r="C70" s="20"/>
      <c r="D70" s="20"/>
      <c r="E70" s="20"/>
      <c r="F70" s="20"/>
    </row>
    <row r="71" spans="2:7" x14ac:dyDescent="0.25">
      <c r="B71" s="20"/>
      <c r="C71" s="20"/>
      <c r="D71" s="20"/>
      <c r="E71" s="20"/>
    </row>
    <row r="72" spans="2:7" x14ac:dyDescent="0.25">
      <c r="B72" s="20"/>
      <c r="C72" s="20"/>
      <c r="D72" s="20"/>
      <c r="E72" s="20"/>
    </row>
    <row r="73" spans="2:7" x14ac:dyDescent="0.25">
      <c r="B73" s="20"/>
      <c r="C73" s="20"/>
      <c r="D73" s="20"/>
      <c r="E73" s="20"/>
    </row>
    <row r="74" spans="2:7" x14ac:dyDescent="0.25">
      <c r="B74" s="20"/>
      <c r="C74" s="20"/>
      <c r="D74" s="20"/>
      <c r="E74" s="20"/>
    </row>
    <row r="75" spans="2:7" x14ac:dyDescent="0.25">
      <c r="B75" s="20"/>
      <c r="C75" s="20"/>
      <c r="D75" s="20"/>
      <c r="E75" s="20"/>
    </row>
    <row r="76" spans="2:7" x14ac:dyDescent="0.25">
      <c r="B76" s="20"/>
      <c r="C76" s="20"/>
      <c r="D76" s="20"/>
      <c r="E76" s="20"/>
    </row>
    <row r="77" spans="2:7" x14ac:dyDescent="0.25">
      <c r="B77" s="20"/>
      <c r="C77" s="20"/>
      <c r="D77" s="20"/>
      <c r="E77" s="20"/>
    </row>
    <row r="78" spans="2:7" x14ac:dyDescent="0.25">
      <c r="B78" s="20"/>
      <c r="C78" s="20"/>
      <c r="D78" s="20"/>
      <c r="E78" s="20"/>
    </row>
    <row r="79" spans="2:7" x14ac:dyDescent="0.25">
      <c r="B79" s="20"/>
      <c r="C79" s="20"/>
      <c r="D79" s="20"/>
      <c r="E79" s="20"/>
    </row>
    <row r="80" spans="2:7" x14ac:dyDescent="0.25">
      <c r="B80" s="20"/>
      <c r="C80" s="20"/>
      <c r="D80" s="20"/>
      <c r="E80" s="20"/>
    </row>
    <row r="81" spans="2:5" x14ac:dyDescent="0.25">
      <c r="B81" s="20"/>
      <c r="C81" s="20"/>
      <c r="D81" s="20"/>
      <c r="E81" s="20"/>
    </row>
    <row r="82" spans="2:5" x14ac:dyDescent="0.25">
      <c r="B82" s="20"/>
      <c r="C82" s="20"/>
      <c r="D82" s="20"/>
      <c r="E82" s="20"/>
    </row>
    <row r="83" spans="2:5" x14ac:dyDescent="0.25">
      <c r="B83" s="20"/>
      <c r="C83" s="20"/>
      <c r="D83" s="20"/>
      <c r="E83" s="20"/>
    </row>
    <row r="84" spans="2:5" x14ac:dyDescent="0.25">
      <c r="B84" s="20"/>
      <c r="C84" s="20"/>
      <c r="D84" s="20"/>
      <c r="E84" s="20"/>
    </row>
    <row r="85" spans="2:5" x14ac:dyDescent="0.25">
      <c r="B85" s="20"/>
      <c r="C85" s="20"/>
      <c r="D85" s="20"/>
      <c r="E85" s="20"/>
    </row>
    <row r="86" spans="2:5" x14ac:dyDescent="0.25">
      <c r="B86" s="20"/>
      <c r="C86" s="20"/>
      <c r="D86" s="20"/>
      <c r="E86" s="20"/>
    </row>
    <row r="87" spans="2:5" x14ac:dyDescent="0.25">
      <c r="B87" s="20"/>
      <c r="C87" s="20"/>
      <c r="D87" s="20"/>
      <c r="E87" s="20"/>
    </row>
    <row r="88" spans="2:5" x14ac:dyDescent="0.25">
      <c r="B88" s="20"/>
      <c r="C88" s="20"/>
      <c r="D88" s="20"/>
      <c r="E88" s="20"/>
    </row>
    <row r="89" spans="2:5" x14ac:dyDescent="0.25">
      <c r="B89" s="20"/>
      <c r="C89" s="20"/>
      <c r="D89" s="20"/>
      <c r="E89" s="20"/>
    </row>
    <row r="90" spans="2:5" x14ac:dyDescent="0.25">
      <c r="B90" s="20"/>
      <c r="C90" s="20"/>
      <c r="D90" s="20"/>
      <c r="E90" s="20"/>
    </row>
    <row r="91" spans="2:5" x14ac:dyDescent="0.25">
      <c r="B91" s="20"/>
      <c r="C91" s="20"/>
      <c r="D91" s="20"/>
      <c r="E91" s="20"/>
    </row>
    <row r="92" spans="2:5" x14ac:dyDescent="0.25">
      <c r="B92" s="20"/>
      <c r="C92" s="20"/>
      <c r="D92" s="20"/>
      <c r="E92" s="20"/>
    </row>
    <row r="93" spans="2:5" x14ac:dyDescent="0.25">
      <c r="B93" s="20"/>
      <c r="C93" s="20"/>
      <c r="D93" s="20"/>
      <c r="E93" s="20"/>
    </row>
    <row r="94" spans="2:5" x14ac:dyDescent="0.25">
      <c r="B94" s="20"/>
      <c r="C94" s="20"/>
      <c r="D94" s="20"/>
      <c r="E94" s="20"/>
    </row>
    <row r="95" spans="2:5" x14ac:dyDescent="0.25">
      <c r="B95" s="20"/>
      <c r="C95" s="20"/>
      <c r="D95" s="20"/>
      <c r="E95" s="20"/>
    </row>
    <row r="96" spans="2:5" x14ac:dyDescent="0.25">
      <c r="B96" s="20"/>
      <c r="C96" s="20"/>
      <c r="D96" s="20"/>
      <c r="E96" s="20"/>
    </row>
    <row r="97" spans="2:5" x14ac:dyDescent="0.25">
      <c r="B97" s="20"/>
      <c r="C97" s="20"/>
      <c r="D97" s="20"/>
      <c r="E97" s="20"/>
    </row>
    <row r="98" spans="2:5" x14ac:dyDescent="0.25">
      <c r="B98" s="20"/>
      <c r="C98" s="20"/>
      <c r="D98" s="20"/>
      <c r="E98" s="20"/>
    </row>
    <row r="99" spans="2:5" x14ac:dyDescent="0.25">
      <c r="B99" s="20"/>
      <c r="C99" s="20"/>
      <c r="D99" s="20"/>
      <c r="E99" s="20"/>
    </row>
  </sheetData>
  <pageMargins left="0.7" right="0.7" top="0.75" bottom="0.75" header="0.3" footer="0.3"/>
  <pageSetup paperSize="9" orientation="portrait" r:id="rId1"/>
  <ignoredErrors>
    <ignoredError sqref="B45 C45: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" sqref="C1"/>
    </sheetView>
  </sheetViews>
  <sheetFormatPr baseColWidth="10" defaultRowHeight="15" x14ac:dyDescent="0.25"/>
  <cols>
    <col min="1" max="1" width="7.42578125" customWidth="1"/>
    <col min="2" max="2" width="13.5703125" customWidth="1"/>
  </cols>
  <sheetData>
    <row r="1" spans="1:3" x14ac:dyDescent="0.25">
      <c r="A1" t="s">
        <v>90</v>
      </c>
    </row>
    <row r="3" spans="1:3" x14ac:dyDescent="0.25">
      <c r="A3" s="24" t="s">
        <v>91</v>
      </c>
      <c r="B3" s="24" t="s">
        <v>96</v>
      </c>
    </row>
    <row r="4" spans="1:3" x14ac:dyDescent="0.25">
      <c r="A4" t="s">
        <v>92</v>
      </c>
      <c r="B4" s="20">
        <v>20100000</v>
      </c>
    </row>
    <row r="5" spans="1:3" x14ac:dyDescent="0.25">
      <c r="A5" t="s">
        <v>93</v>
      </c>
      <c r="B5" s="20">
        <v>24500000</v>
      </c>
      <c r="C5" s="26">
        <f>B5/B4-1</f>
        <v>0.21890547263681581</v>
      </c>
    </row>
    <row r="6" spans="1:3" x14ac:dyDescent="0.25">
      <c r="A6" t="s">
        <v>94</v>
      </c>
      <c r="B6" s="20">
        <v>30500000</v>
      </c>
      <c r="C6" s="26">
        <f t="shared" ref="C6:C8" si="0">B6/B5-1</f>
        <v>0.24489795918367352</v>
      </c>
    </row>
    <row r="7" spans="1:3" x14ac:dyDescent="0.25">
      <c r="A7" t="s">
        <v>95</v>
      </c>
      <c r="B7" s="20">
        <v>34900000</v>
      </c>
      <c r="C7" s="26">
        <f t="shared" si="0"/>
        <v>0.1442622950819672</v>
      </c>
    </row>
    <row r="8" spans="1:3" x14ac:dyDescent="0.25">
      <c r="A8" t="s">
        <v>57</v>
      </c>
      <c r="B8" s="20">
        <v>40000000</v>
      </c>
      <c r="C8" s="26">
        <f t="shared" si="0"/>
        <v>0.14613180515759305</v>
      </c>
    </row>
    <row r="9" spans="1:3" x14ac:dyDescent="0.25">
      <c r="B9" s="20"/>
    </row>
    <row r="10" spans="1:3" x14ac:dyDescent="0.25">
      <c r="B10" t="s">
        <v>97</v>
      </c>
    </row>
    <row r="11" spans="1:3" x14ac:dyDescent="0.25">
      <c r="B11" s="27">
        <f>AVERAGE(C7:C8)</f>
        <v>0.14519705011978012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C2" sqref="C2"/>
    </sheetView>
  </sheetViews>
  <sheetFormatPr baseColWidth="10" defaultRowHeight="15" x14ac:dyDescent="0.25"/>
  <cols>
    <col min="2" max="2" width="15.140625" customWidth="1"/>
    <col min="4" max="4" width="12.140625" bestFit="1" customWidth="1"/>
  </cols>
  <sheetData>
    <row r="1" spans="1:4" x14ac:dyDescent="0.25">
      <c r="A1" t="s">
        <v>98</v>
      </c>
    </row>
    <row r="3" spans="1:4" x14ac:dyDescent="0.25">
      <c r="A3" t="s">
        <v>91</v>
      </c>
    </row>
    <row r="4" spans="1:4" x14ac:dyDescent="0.25">
      <c r="A4">
        <v>2009</v>
      </c>
      <c r="B4" s="20">
        <v>94000</v>
      </c>
      <c r="C4">
        <v>1</v>
      </c>
      <c r="D4" s="29">
        <f>$B$16*A4+$B$17</f>
        <v>92166.666666666511</v>
      </c>
    </row>
    <row r="5" spans="1:4" x14ac:dyDescent="0.25">
      <c r="A5">
        <v>2010</v>
      </c>
      <c r="B5" s="20">
        <v>96000</v>
      </c>
      <c r="C5">
        <v>2</v>
      </c>
      <c r="D5" s="29">
        <f t="shared" ref="D5:D13" si="0">$B$16*A5+$B$17</f>
        <v>94190.476190475747</v>
      </c>
    </row>
    <row r="6" spans="1:4" x14ac:dyDescent="0.25">
      <c r="A6">
        <v>2011</v>
      </c>
      <c r="B6" s="20">
        <v>86000</v>
      </c>
      <c r="C6">
        <v>3</v>
      </c>
      <c r="D6" s="29">
        <f t="shared" si="0"/>
        <v>96214.285714285448</v>
      </c>
    </row>
    <row r="7" spans="1:4" x14ac:dyDescent="0.25">
      <c r="A7">
        <v>2012</v>
      </c>
      <c r="B7" s="20">
        <v>98000</v>
      </c>
      <c r="C7">
        <v>4</v>
      </c>
      <c r="D7" s="29">
        <f t="shared" si="0"/>
        <v>98238.095238095149</v>
      </c>
    </row>
    <row r="8" spans="1:4" x14ac:dyDescent="0.25">
      <c r="A8">
        <v>2013</v>
      </c>
      <c r="B8" s="20">
        <v>110000</v>
      </c>
      <c r="C8">
        <v>5</v>
      </c>
      <c r="D8" s="29">
        <f t="shared" si="0"/>
        <v>100261.90476190438</v>
      </c>
    </row>
    <row r="9" spans="1:4" x14ac:dyDescent="0.25">
      <c r="A9">
        <v>2014</v>
      </c>
      <c r="B9" s="20">
        <v>104000</v>
      </c>
      <c r="C9">
        <v>6</v>
      </c>
      <c r="D9" s="29">
        <f t="shared" si="0"/>
        <v>102285.71428571409</v>
      </c>
    </row>
    <row r="10" spans="1:4" x14ac:dyDescent="0.25">
      <c r="A10">
        <v>2015</v>
      </c>
      <c r="B10" s="20">
        <v>100000</v>
      </c>
      <c r="C10">
        <v>7</v>
      </c>
      <c r="D10" s="29">
        <f t="shared" si="0"/>
        <v>104309.52380952379</v>
      </c>
    </row>
    <row r="11" spans="1:4" x14ac:dyDescent="0.25">
      <c r="A11">
        <v>2016</v>
      </c>
      <c r="B11" s="20">
        <v>106000</v>
      </c>
      <c r="C11">
        <v>8</v>
      </c>
      <c r="D11" s="29">
        <f t="shared" si="0"/>
        <v>106333.33333333302</v>
      </c>
    </row>
    <row r="12" spans="1:4" x14ac:dyDescent="0.25">
      <c r="A12">
        <v>2017</v>
      </c>
      <c r="B12" s="20"/>
      <c r="C12">
        <v>9</v>
      </c>
      <c r="D12" s="29">
        <f t="shared" si="0"/>
        <v>108357.14285714272</v>
      </c>
    </row>
    <row r="13" spans="1:4" x14ac:dyDescent="0.25">
      <c r="A13">
        <v>2018</v>
      </c>
      <c r="B13" s="20"/>
      <c r="C13">
        <v>10</v>
      </c>
      <c r="D13" s="29">
        <f t="shared" si="0"/>
        <v>110380.95238095196</v>
      </c>
    </row>
    <row r="14" spans="1:4" x14ac:dyDescent="0.25">
      <c r="B14" s="20"/>
    </row>
    <row r="15" spans="1:4" x14ac:dyDescent="0.25">
      <c r="B15" s="20"/>
    </row>
    <row r="16" spans="1:4" x14ac:dyDescent="0.25">
      <c r="A16" t="s">
        <v>101</v>
      </c>
      <c r="B16" s="23">
        <f>SLOPE(B4:B11,A4:A11)</f>
        <v>2023.8095238095239</v>
      </c>
    </row>
    <row r="17" spans="1:3" x14ac:dyDescent="0.25">
      <c r="A17" t="s">
        <v>102</v>
      </c>
      <c r="B17" s="23">
        <f>INTERCEPT(B4:B11,A4:A11)</f>
        <v>-3973666.666666667</v>
      </c>
    </row>
    <row r="18" spans="1:3" x14ac:dyDescent="0.25">
      <c r="B18" s="20"/>
    </row>
    <row r="19" spans="1:3" x14ac:dyDescent="0.25">
      <c r="B19" s="20"/>
    </row>
    <row r="20" spans="1:3" x14ac:dyDescent="0.25">
      <c r="C20" s="22"/>
    </row>
    <row r="21" spans="1:3" x14ac:dyDescent="0.25">
      <c r="C21" s="22"/>
    </row>
    <row r="22" spans="1:3" x14ac:dyDescent="0.25">
      <c r="C22" s="22"/>
    </row>
    <row r="23" spans="1:3" x14ac:dyDescent="0.25">
      <c r="B23" s="20"/>
    </row>
  </sheetData>
  <pageMargins left="0.7" right="0.7" top="0.75" bottom="0.75" header="0.3" footer="0.3"/>
  <ignoredErrors>
    <ignoredError sqref="B16:B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" sqref="B1"/>
    </sheetView>
  </sheetViews>
  <sheetFormatPr baseColWidth="10" defaultRowHeight="15" x14ac:dyDescent="0.25"/>
  <cols>
    <col min="1" max="1" width="19.85546875" customWidth="1"/>
    <col min="2" max="4" width="14.5703125" bestFit="1" customWidth="1"/>
    <col min="9" max="9" width="20.5703125" customWidth="1"/>
  </cols>
  <sheetData>
    <row r="1" spans="1:9" x14ac:dyDescent="0.25">
      <c r="A1" t="s">
        <v>103</v>
      </c>
    </row>
    <row r="3" spans="1:9" x14ac:dyDescent="0.25">
      <c r="A3" t="s">
        <v>104</v>
      </c>
    </row>
    <row r="4" spans="1:9" x14ac:dyDescent="0.25">
      <c r="A4" s="20">
        <v>22400000</v>
      </c>
    </row>
    <row r="6" spans="1:9" x14ac:dyDescent="0.25">
      <c r="E6" s="4" t="s">
        <v>113</v>
      </c>
      <c r="F6" s="4"/>
      <c r="G6" s="4"/>
      <c r="I6" s="43" t="s">
        <v>115</v>
      </c>
    </row>
    <row r="7" spans="1:9" x14ac:dyDescent="0.25">
      <c r="A7" s="42" t="s">
        <v>105</v>
      </c>
      <c r="B7" s="34" t="s">
        <v>58</v>
      </c>
      <c r="C7" s="34" t="s">
        <v>99</v>
      </c>
      <c r="D7" s="35" t="s">
        <v>100</v>
      </c>
      <c r="E7" s="33" t="s">
        <v>58</v>
      </c>
      <c r="F7" s="34" t="s">
        <v>99</v>
      </c>
      <c r="G7" s="34" t="s">
        <v>100</v>
      </c>
      <c r="H7" s="48" t="s">
        <v>114</v>
      </c>
      <c r="I7" s="49" t="s">
        <v>116</v>
      </c>
    </row>
    <row r="8" spans="1:9" x14ac:dyDescent="0.25">
      <c r="A8" s="40" t="s">
        <v>106</v>
      </c>
      <c r="B8" s="20">
        <v>2600000</v>
      </c>
      <c r="C8" s="20">
        <v>2400000</v>
      </c>
      <c r="D8" s="31">
        <v>2800000</v>
      </c>
      <c r="E8" s="36">
        <f>B8/$B$14</f>
        <v>0.13</v>
      </c>
      <c r="F8" s="37">
        <f>C8/$C$14</f>
        <v>0.13259668508287292</v>
      </c>
      <c r="G8" s="37">
        <f>D8/$D$14</f>
        <v>0.12962962962962962</v>
      </c>
      <c r="H8" s="44">
        <f>AVERAGE(E8:G8)</f>
        <v>0.13074210490416752</v>
      </c>
      <c r="I8" s="46">
        <f>ROUND($A$4*H8,-3)</f>
        <v>2929000</v>
      </c>
    </row>
    <row r="9" spans="1:9" x14ac:dyDescent="0.25">
      <c r="A9" s="40" t="s">
        <v>107</v>
      </c>
      <c r="B9" s="20">
        <v>3200000</v>
      </c>
      <c r="C9" s="20">
        <v>3300000</v>
      </c>
      <c r="D9" s="31">
        <v>3900000</v>
      </c>
      <c r="E9" s="36">
        <f t="shared" ref="E9:E13" si="0">B9/$B$14</f>
        <v>0.16</v>
      </c>
      <c r="F9" s="37">
        <f t="shared" ref="F9:F13" si="1">C9/$C$14</f>
        <v>0.18232044198895028</v>
      </c>
      <c r="G9" s="37">
        <f t="shared" ref="G9:G13" si="2">D9/$D$14</f>
        <v>0.18055555555555555</v>
      </c>
      <c r="H9" s="44">
        <f t="shared" ref="H9:H13" si="3">AVERAGE(E9:G9)</f>
        <v>0.17429199918150196</v>
      </c>
      <c r="I9" s="46">
        <f t="shared" ref="I9:I13" si="4">ROUND($A$4*H9,-3)</f>
        <v>3904000</v>
      </c>
    </row>
    <row r="10" spans="1:9" x14ac:dyDescent="0.25">
      <c r="A10" s="40" t="s">
        <v>108</v>
      </c>
      <c r="B10" s="20">
        <v>4100000</v>
      </c>
      <c r="C10" s="20">
        <v>3900000</v>
      </c>
      <c r="D10" s="31">
        <v>4400000</v>
      </c>
      <c r="E10" s="36">
        <f t="shared" si="0"/>
        <v>0.20499999999999999</v>
      </c>
      <c r="F10" s="37">
        <f t="shared" si="1"/>
        <v>0.21546961325966851</v>
      </c>
      <c r="G10" s="37">
        <f t="shared" si="2"/>
        <v>0.20370370370370369</v>
      </c>
      <c r="H10" s="44">
        <f t="shared" si="3"/>
        <v>0.20805777232112407</v>
      </c>
      <c r="I10" s="46">
        <f t="shared" si="4"/>
        <v>4660000</v>
      </c>
    </row>
    <row r="11" spans="1:9" x14ac:dyDescent="0.25">
      <c r="A11" s="40" t="s">
        <v>109</v>
      </c>
      <c r="B11" s="20">
        <v>2900000</v>
      </c>
      <c r="C11" s="20">
        <v>2400000</v>
      </c>
      <c r="D11" s="31">
        <v>3100000</v>
      </c>
      <c r="E11" s="36">
        <f t="shared" si="0"/>
        <v>0.14499999999999999</v>
      </c>
      <c r="F11" s="37">
        <f t="shared" si="1"/>
        <v>0.13259668508287292</v>
      </c>
      <c r="G11" s="37">
        <f t="shared" si="2"/>
        <v>0.14351851851851852</v>
      </c>
      <c r="H11" s="44">
        <f t="shared" si="3"/>
        <v>0.14037173453379714</v>
      </c>
      <c r="I11" s="46">
        <f t="shared" si="4"/>
        <v>3144000</v>
      </c>
    </row>
    <row r="12" spans="1:9" x14ac:dyDescent="0.25">
      <c r="A12" s="40" t="s">
        <v>110</v>
      </c>
      <c r="B12" s="20">
        <v>3400000</v>
      </c>
      <c r="C12" s="20">
        <v>2700000</v>
      </c>
      <c r="D12" s="31">
        <v>3300000</v>
      </c>
      <c r="E12" s="36">
        <f t="shared" si="0"/>
        <v>0.17</v>
      </c>
      <c r="F12" s="37">
        <f t="shared" si="1"/>
        <v>0.14917127071823205</v>
      </c>
      <c r="G12" s="37">
        <f t="shared" si="2"/>
        <v>0.15277777777777779</v>
      </c>
      <c r="H12" s="44">
        <f t="shared" si="3"/>
        <v>0.15731634949866993</v>
      </c>
      <c r="I12" s="46">
        <f t="shared" si="4"/>
        <v>3524000</v>
      </c>
    </row>
    <row r="13" spans="1:9" x14ac:dyDescent="0.25">
      <c r="A13" s="41" t="s">
        <v>111</v>
      </c>
      <c r="B13" s="14">
        <v>3800000</v>
      </c>
      <c r="C13" s="14">
        <v>3400000</v>
      </c>
      <c r="D13" s="32">
        <v>4100000</v>
      </c>
      <c r="E13" s="38">
        <f t="shared" si="0"/>
        <v>0.19</v>
      </c>
      <c r="F13" s="39">
        <f t="shared" si="1"/>
        <v>0.18784530386740331</v>
      </c>
      <c r="G13" s="39">
        <f t="shared" si="2"/>
        <v>0.18981481481481483</v>
      </c>
      <c r="H13" s="45">
        <f t="shared" si="3"/>
        <v>0.18922003956073938</v>
      </c>
      <c r="I13" s="47">
        <f t="shared" si="4"/>
        <v>4239000</v>
      </c>
    </row>
    <row r="14" spans="1:9" x14ac:dyDescent="0.25">
      <c r="A14" s="40" t="s">
        <v>112</v>
      </c>
      <c r="B14" s="20">
        <f>SUM(B8:B13)</f>
        <v>20000000</v>
      </c>
      <c r="C14" s="20">
        <f t="shared" ref="C14:D14" si="5">SUM(C8:C13)</f>
        <v>18100000</v>
      </c>
      <c r="D14" s="31">
        <f t="shared" si="5"/>
        <v>21600000</v>
      </c>
      <c r="H14" s="21"/>
      <c r="I14" s="20">
        <f>SUM(I8:I13)</f>
        <v>22400000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1" sqref="B1"/>
    </sheetView>
  </sheetViews>
  <sheetFormatPr baseColWidth="10" defaultRowHeight="15" x14ac:dyDescent="0.25"/>
  <cols>
    <col min="1" max="1" width="19.140625" customWidth="1"/>
    <col min="2" max="2" width="14.5703125" bestFit="1" customWidth="1"/>
    <col min="3" max="3" width="13.140625" customWidth="1"/>
    <col min="4" max="4" width="13.85546875" customWidth="1"/>
    <col min="5" max="5" width="14.28515625" customWidth="1"/>
    <col min="6" max="6" width="14" customWidth="1"/>
  </cols>
  <sheetData>
    <row r="1" spans="1:6" x14ac:dyDescent="0.25">
      <c r="A1" t="s">
        <v>117</v>
      </c>
    </row>
    <row r="3" spans="1:6" x14ac:dyDescent="0.25">
      <c r="A3" t="s">
        <v>118</v>
      </c>
      <c r="B3" s="20">
        <v>20000000</v>
      </c>
    </row>
    <row r="4" spans="1:6" x14ac:dyDescent="0.25">
      <c r="A4" t="s">
        <v>119</v>
      </c>
      <c r="B4" s="25">
        <v>0.2</v>
      </c>
    </row>
    <row r="5" spans="1:6" x14ac:dyDescent="0.25">
      <c r="A5" t="s">
        <v>120</v>
      </c>
      <c r="B5" s="25">
        <v>0.25</v>
      </c>
    </row>
    <row r="6" spans="1:6" x14ac:dyDescent="0.25">
      <c r="B6" s="25"/>
    </row>
    <row r="7" spans="1:6" x14ac:dyDescent="0.25">
      <c r="A7" t="s">
        <v>125</v>
      </c>
      <c r="B7" s="20">
        <f>B3*(1+B4)</f>
        <v>24000000</v>
      </c>
    </row>
    <row r="8" spans="1:6" x14ac:dyDescent="0.25">
      <c r="A8" t="s">
        <v>126</v>
      </c>
      <c r="B8" s="20">
        <f>B7/12</f>
        <v>2000000</v>
      </c>
    </row>
    <row r="9" spans="1:6" x14ac:dyDescent="0.25">
      <c r="B9" s="25"/>
    </row>
    <row r="10" spans="1:6" x14ac:dyDescent="0.25">
      <c r="A10" t="s">
        <v>121</v>
      </c>
      <c r="B10" s="25"/>
    </row>
    <row r="11" spans="1:6" x14ac:dyDescent="0.25">
      <c r="A11" t="s">
        <v>122</v>
      </c>
      <c r="B11" s="25">
        <v>0.5</v>
      </c>
    </row>
    <row r="12" spans="1:6" x14ac:dyDescent="0.25">
      <c r="A12" t="s">
        <v>123</v>
      </c>
      <c r="B12" s="25">
        <v>0.25</v>
      </c>
    </row>
    <row r="13" spans="1:6" x14ac:dyDescent="0.25">
      <c r="A13" t="s">
        <v>124</v>
      </c>
      <c r="B13" s="25">
        <v>0.25</v>
      </c>
    </row>
    <row r="14" spans="1:6" x14ac:dyDescent="0.25">
      <c r="B14" s="25"/>
    </row>
    <row r="15" spans="1:6" x14ac:dyDescent="0.25">
      <c r="B15" s="15"/>
    </row>
    <row r="16" spans="1:6" x14ac:dyDescent="0.25">
      <c r="A16" s="4" t="s">
        <v>127</v>
      </c>
      <c r="B16" s="13" t="s">
        <v>128</v>
      </c>
      <c r="C16" s="13" t="s">
        <v>129</v>
      </c>
      <c r="D16" s="13" t="s">
        <v>130</v>
      </c>
      <c r="E16" s="13" t="s">
        <v>131</v>
      </c>
      <c r="F16" s="51" t="s">
        <v>134</v>
      </c>
    </row>
    <row r="17" spans="1:6" x14ac:dyDescent="0.25">
      <c r="A17" s="50" t="s">
        <v>132</v>
      </c>
      <c r="B17" s="20">
        <f>$B$8</f>
        <v>2000000</v>
      </c>
      <c r="C17" s="20">
        <f t="shared" ref="C17:E17" si="0">$B$8</f>
        <v>2000000</v>
      </c>
      <c r="D17" s="20">
        <f t="shared" si="0"/>
        <v>2000000</v>
      </c>
      <c r="E17" s="20">
        <f t="shared" si="0"/>
        <v>2000000</v>
      </c>
    </row>
    <row r="18" spans="1:6" x14ac:dyDescent="0.25">
      <c r="A18" s="50" t="s">
        <v>133</v>
      </c>
      <c r="B18" s="15"/>
    </row>
    <row r="19" spans="1:6" x14ac:dyDescent="0.25">
      <c r="A19" t="str">
        <f>A11</f>
        <v>Kontantsalg</v>
      </c>
      <c r="B19" s="20">
        <f>$B$11*B17*(1+$B$5)</f>
        <v>1250000</v>
      </c>
      <c r="C19" s="20">
        <f t="shared" ref="C19:E19" si="1">$B$11*C17*(1+$B$5)</f>
        <v>1250000</v>
      </c>
      <c r="D19" s="20">
        <f t="shared" si="1"/>
        <v>1250000</v>
      </c>
      <c r="E19" s="20">
        <f t="shared" si="1"/>
        <v>1250000</v>
      </c>
    </row>
    <row r="20" spans="1:6" x14ac:dyDescent="0.25">
      <c r="A20" t="str">
        <f t="shared" ref="A20:A21" si="2">A12</f>
        <v>Per 1 mnd</v>
      </c>
      <c r="B20" s="20">
        <f>$B$12*($B$3/12)*(1+B5)</f>
        <v>520833.33333333337</v>
      </c>
      <c r="C20" s="20">
        <f>$B$12*B17*(1+$B$5)</f>
        <v>625000</v>
      </c>
      <c r="D20" s="20">
        <f t="shared" ref="D20:F20" si="3">$B$12*C17*(1+$B$5)</f>
        <v>625000</v>
      </c>
      <c r="E20" s="20">
        <f t="shared" si="3"/>
        <v>625000</v>
      </c>
      <c r="F20" s="20">
        <f t="shared" si="3"/>
        <v>625000</v>
      </c>
    </row>
    <row r="21" spans="1:6" x14ac:dyDescent="0.25">
      <c r="A21" s="4" t="str">
        <f t="shared" si="2"/>
        <v>Per 3 mnd</v>
      </c>
      <c r="B21" s="14">
        <f>$B$13*($B$3/12)*(1+$B$5)</f>
        <v>520833.33333333337</v>
      </c>
      <c r="C21" s="14">
        <f t="shared" ref="C21:D21" si="4">$B$13*($B$3/12)*(1+$B$5)</f>
        <v>520833.33333333337</v>
      </c>
      <c r="D21" s="14">
        <f t="shared" si="4"/>
        <v>520833.33333333337</v>
      </c>
      <c r="E21" s="14">
        <f>$B$13*B17*(1+$B$5)</f>
        <v>625000</v>
      </c>
      <c r="F21" s="14">
        <f>$B$13*(C17+D17+E17)*(1+$B$5)</f>
        <v>1875000</v>
      </c>
    </row>
    <row r="22" spans="1:6" x14ac:dyDescent="0.25">
      <c r="A22" s="50" t="s">
        <v>138</v>
      </c>
      <c r="B22" s="20">
        <f>SUM(B19:B21)</f>
        <v>2291666.666666667</v>
      </c>
      <c r="C22" s="20">
        <f t="shared" ref="C22:F22" si="5">SUM(C19:C21)</f>
        <v>2395833.3333333335</v>
      </c>
      <c r="D22" s="20">
        <f t="shared" si="5"/>
        <v>2395833.3333333335</v>
      </c>
      <c r="E22" s="20">
        <f t="shared" si="5"/>
        <v>2500000</v>
      </c>
      <c r="F22" s="20">
        <f t="shared" si="5"/>
        <v>2500000</v>
      </c>
    </row>
    <row r="23" spans="1:6" x14ac:dyDescent="0.25">
      <c r="B23" s="15"/>
    </row>
    <row r="24" spans="1:6" x14ac:dyDescent="0.25">
      <c r="A24" t="s">
        <v>135</v>
      </c>
      <c r="B24" s="25"/>
    </row>
    <row r="25" spans="1:6" x14ac:dyDescent="0.25">
      <c r="A25" t="s">
        <v>122</v>
      </c>
      <c r="B25" s="25">
        <v>0.4</v>
      </c>
      <c r="C25" t="s">
        <v>136</v>
      </c>
      <c r="D25" s="25">
        <v>0.02</v>
      </c>
      <c r="E25" t="s">
        <v>137</v>
      </c>
    </row>
    <row r="26" spans="1:6" x14ac:dyDescent="0.25">
      <c r="A26" t="s">
        <v>123</v>
      </c>
      <c r="B26" s="25">
        <v>0.6</v>
      </c>
    </row>
    <row r="27" spans="1:6" x14ac:dyDescent="0.25">
      <c r="B27" s="25"/>
    </row>
    <row r="28" spans="1:6" x14ac:dyDescent="0.25">
      <c r="B28" s="15"/>
    </row>
    <row r="29" spans="1:6" x14ac:dyDescent="0.25">
      <c r="A29" s="4" t="s">
        <v>127</v>
      </c>
      <c r="B29" s="13" t="s">
        <v>128</v>
      </c>
      <c r="C29" s="13" t="s">
        <v>129</v>
      </c>
      <c r="D29" s="13" t="s">
        <v>130</v>
      </c>
      <c r="E29" s="13" t="s">
        <v>131</v>
      </c>
      <c r="F29" s="51" t="s">
        <v>134</v>
      </c>
    </row>
    <row r="30" spans="1:6" x14ac:dyDescent="0.25">
      <c r="A30" s="50" t="s">
        <v>132</v>
      </c>
      <c r="B30" s="20">
        <f>$B$8</f>
        <v>2000000</v>
      </c>
      <c r="C30" s="20">
        <f t="shared" ref="C30:E30" si="6">$B$8</f>
        <v>2000000</v>
      </c>
      <c r="D30" s="20">
        <f t="shared" si="6"/>
        <v>2000000</v>
      </c>
      <c r="E30" s="20">
        <f t="shared" si="6"/>
        <v>2000000</v>
      </c>
    </row>
    <row r="31" spans="1:6" x14ac:dyDescent="0.25">
      <c r="A31" s="50" t="s">
        <v>133</v>
      </c>
      <c r="B31" s="15"/>
    </row>
    <row r="32" spans="1:6" x14ac:dyDescent="0.25">
      <c r="A32" t="str">
        <f>A25</f>
        <v>Kontantsalg</v>
      </c>
      <c r="B32" s="20">
        <f>$B$25*B30*(1-$D$25)*(1+$B$5)</f>
        <v>980000</v>
      </c>
      <c r="C32" s="20">
        <f t="shared" ref="C32:E32" si="7">$B$25*C30*(1-$D$25)*(1+$B$5)</f>
        <v>980000</v>
      </c>
      <c r="D32" s="20">
        <f t="shared" si="7"/>
        <v>980000</v>
      </c>
      <c r="E32" s="20">
        <f t="shared" si="7"/>
        <v>980000</v>
      </c>
    </row>
    <row r="33" spans="1:6" x14ac:dyDescent="0.25">
      <c r="A33" s="4" t="str">
        <f>A26</f>
        <v>Per 1 mnd</v>
      </c>
      <c r="B33" s="14">
        <f>B26*(B3/12)*(1+B5)</f>
        <v>1250000</v>
      </c>
      <c r="C33" s="14">
        <f>$B$26*B30*(1+$B$5)</f>
        <v>1500000</v>
      </c>
      <c r="D33" s="14">
        <f t="shared" ref="D33:F33" si="8">$B$26*C30*(1+$B$5)</f>
        <v>1500000</v>
      </c>
      <c r="E33" s="14">
        <f t="shared" si="8"/>
        <v>1500000</v>
      </c>
      <c r="F33" s="14">
        <f t="shared" si="8"/>
        <v>1500000</v>
      </c>
    </row>
    <row r="34" spans="1:6" x14ac:dyDescent="0.25">
      <c r="A34" s="50" t="s">
        <v>138</v>
      </c>
      <c r="B34" s="20">
        <f>SUM(B32:B33)</f>
        <v>2230000</v>
      </c>
      <c r="C34" s="20">
        <f t="shared" ref="C34:F34" si="9">SUM(C32:C33)</f>
        <v>2480000</v>
      </c>
      <c r="D34" s="20">
        <f t="shared" si="9"/>
        <v>2480000</v>
      </c>
      <c r="E34" s="20">
        <f t="shared" si="9"/>
        <v>2480000</v>
      </c>
      <c r="F34" s="20">
        <f t="shared" si="9"/>
        <v>1500000</v>
      </c>
    </row>
    <row r="35" spans="1:6" x14ac:dyDescent="0.25">
      <c r="B35" s="15"/>
    </row>
    <row r="36" spans="1:6" x14ac:dyDescent="0.25">
      <c r="B36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2" sqref="B2"/>
    </sheetView>
  </sheetViews>
  <sheetFormatPr baseColWidth="10" defaultRowHeight="15" x14ac:dyDescent="0.25"/>
  <cols>
    <col min="1" max="1" width="23.42578125" customWidth="1"/>
    <col min="2" max="2" width="14.28515625" customWidth="1"/>
    <col min="3" max="3" width="13.5703125" customWidth="1"/>
  </cols>
  <sheetData>
    <row r="1" spans="1:3" x14ac:dyDescent="0.25">
      <c r="A1" t="s">
        <v>139</v>
      </c>
    </row>
    <row r="3" spans="1:3" x14ac:dyDescent="0.25">
      <c r="A3" t="s">
        <v>140</v>
      </c>
      <c r="B3" s="22">
        <v>280000</v>
      </c>
      <c r="C3" t="s">
        <v>75</v>
      </c>
    </row>
    <row r="4" spans="1:3" x14ac:dyDescent="0.25">
      <c r="A4" t="s">
        <v>141</v>
      </c>
      <c r="B4" s="22">
        <v>16000</v>
      </c>
      <c r="C4" t="s">
        <v>75</v>
      </c>
    </row>
    <row r="5" spans="1:3" x14ac:dyDescent="0.25">
      <c r="A5" t="s">
        <v>142</v>
      </c>
      <c r="B5" s="22">
        <v>28000</v>
      </c>
      <c r="C5" t="s">
        <v>75</v>
      </c>
    </row>
    <row r="6" spans="1:3" x14ac:dyDescent="0.25">
      <c r="B6" s="22"/>
    </row>
    <row r="7" spans="1:3" x14ac:dyDescent="0.25">
      <c r="A7" t="s">
        <v>143</v>
      </c>
      <c r="B7" s="22">
        <f>B3-B4+B5</f>
        <v>292000</v>
      </c>
      <c r="C7" t="s">
        <v>75</v>
      </c>
    </row>
    <row r="9" spans="1:3" x14ac:dyDescent="0.25">
      <c r="A9" t="s">
        <v>159</v>
      </c>
    </row>
    <row r="10" spans="1:3" x14ac:dyDescent="0.25">
      <c r="A10" t="s">
        <v>144</v>
      </c>
      <c r="B10" s="15">
        <v>36</v>
      </c>
      <c r="C10" t="s">
        <v>145</v>
      </c>
    </row>
    <row r="11" spans="1:3" x14ac:dyDescent="0.25">
      <c r="A11" t="s">
        <v>146</v>
      </c>
      <c r="B11" s="15">
        <v>12</v>
      </c>
      <c r="C11" t="s">
        <v>148</v>
      </c>
    </row>
    <row r="12" spans="1:3" x14ac:dyDescent="0.25">
      <c r="A12" t="s">
        <v>147</v>
      </c>
      <c r="B12" s="15">
        <v>18</v>
      </c>
      <c r="C12" t="s">
        <v>148</v>
      </c>
    </row>
    <row r="13" spans="1:3" x14ac:dyDescent="0.25">
      <c r="A13" t="s">
        <v>149</v>
      </c>
      <c r="B13" s="15">
        <v>4.3</v>
      </c>
      <c r="C13" t="s">
        <v>145</v>
      </c>
    </row>
    <row r="14" spans="1:3" x14ac:dyDescent="0.25">
      <c r="A14" t="s">
        <v>150</v>
      </c>
      <c r="B14" s="52">
        <v>0.05</v>
      </c>
      <c r="C14" t="s">
        <v>151</v>
      </c>
    </row>
    <row r="15" spans="1:3" x14ac:dyDescent="0.25">
      <c r="A15" t="s">
        <v>152</v>
      </c>
      <c r="B15" s="52">
        <v>2.5000000000000001E-2</v>
      </c>
      <c r="C15" t="s">
        <v>151</v>
      </c>
    </row>
    <row r="16" spans="1:3" x14ac:dyDescent="0.25">
      <c r="A16" t="s">
        <v>153</v>
      </c>
      <c r="B16" s="28">
        <v>0.6</v>
      </c>
      <c r="C16" t="s">
        <v>155</v>
      </c>
    </row>
    <row r="17" spans="1:3" x14ac:dyDescent="0.25">
      <c r="A17" t="s">
        <v>154</v>
      </c>
      <c r="B17" s="15">
        <v>140</v>
      </c>
      <c r="C17" t="s">
        <v>156</v>
      </c>
    </row>
    <row r="18" spans="1:3" x14ac:dyDescent="0.25">
      <c r="A18" t="s">
        <v>157</v>
      </c>
      <c r="B18" s="52">
        <v>0.05</v>
      </c>
    </row>
    <row r="19" spans="1:3" x14ac:dyDescent="0.25">
      <c r="A19" t="s">
        <v>158</v>
      </c>
    </row>
    <row r="20" spans="1:3" x14ac:dyDescent="0.25">
      <c r="B20" s="52">
        <v>0.02</v>
      </c>
    </row>
    <row r="21" spans="1:3" x14ac:dyDescent="0.25">
      <c r="A21" t="s">
        <v>160</v>
      </c>
      <c r="B21" s="15">
        <v>6</v>
      </c>
      <c r="C21" t="s">
        <v>145</v>
      </c>
    </row>
    <row r="22" spans="1:3" x14ac:dyDescent="0.25">
      <c r="A22" t="s">
        <v>161</v>
      </c>
      <c r="B22" s="52">
        <v>0.2</v>
      </c>
    </row>
    <row r="25" spans="1:3" x14ac:dyDescent="0.25">
      <c r="A25" t="s">
        <v>162</v>
      </c>
    </row>
    <row r="26" spans="1:3" x14ac:dyDescent="0.25">
      <c r="A26" s="4" t="s">
        <v>163</v>
      </c>
      <c r="B26" s="30" t="s">
        <v>164</v>
      </c>
      <c r="C26" s="30" t="s">
        <v>165</v>
      </c>
    </row>
    <row r="27" spans="1:3" x14ac:dyDescent="0.25">
      <c r="A27" s="50" t="s">
        <v>166</v>
      </c>
      <c r="B27" s="15">
        <f>$B$11+$B$12</f>
        <v>30</v>
      </c>
      <c r="C27" s="15">
        <f>$B$11+$B$12</f>
        <v>30</v>
      </c>
    </row>
    <row r="28" spans="1:3" x14ac:dyDescent="0.25">
      <c r="A28" s="4" t="str">
        <f>A13</f>
        <v>Transp og spedisjon</v>
      </c>
      <c r="B28" s="13">
        <f>$B$13</f>
        <v>4.3</v>
      </c>
      <c r="C28" s="13">
        <f>$B$13</f>
        <v>4.3</v>
      </c>
    </row>
    <row r="29" spans="1:3" x14ac:dyDescent="0.25">
      <c r="A29" s="50" t="s">
        <v>167</v>
      </c>
      <c r="B29" s="15">
        <f>SUM(B27:B28)</f>
        <v>34.299999999999997</v>
      </c>
      <c r="C29" s="15">
        <f>SUM(C27:C28)</f>
        <v>34.299999999999997</v>
      </c>
    </row>
    <row r="30" spans="1:3" x14ac:dyDescent="0.25">
      <c r="A30" s="4" t="str">
        <f>A14</f>
        <v>Svinn og kassering</v>
      </c>
      <c r="B30" s="13">
        <f>B14*B29</f>
        <v>1.7149999999999999</v>
      </c>
      <c r="C30" s="13">
        <f>B15*C29</f>
        <v>0.85749999999999993</v>
      </c>
    </row>
    <row r="31" spans="1:3" x14ac:dyDescent="0.25">
      <c r="B31" s="15">
        <f>B29+B30</f>
        <v>36.015000000000001</v>
      </c>
      <c r="C31" s="15">
        <f>C29+C30</f>
        <v>35.157499999999999</v>
      </c>
    </row>
    <row r="33" spans="1:3" x14ac:dyDescent="0.25">
      <c r="A33" t="s">
        <v>168</v>
      </c>
    </row>
    <row r="34" spans="1:3" x14ac:dyDescent="0.25">
      <c r="A34" t="s">
        <v>169</v>
      </c>
      <c r="B34">
        <f>(B16/(1+B18))*(1-B20)</f>
        <v>0.55999999999999994</v>
      </c>
      <c r="C34" t="s">
        <v>155</v>
      </c>
    </row>
    <row r="35" spans="1:3" x14ac:dyDescent="0.25">
      <c r="A35" t="s">
        <v>170</v>
      </c>
      <c r="B35" s="15">
        <f>B17*(1+B18)</f>
        <v>147</v>
      </c>
      <c r="C35" t="s">
        <v>156</v>
      </c>
    </row>
    <row r="36" spans="1:3" x14ac:dyDescent="0.25">
      <c r="A36" t="s">
        <v>171</v>
      </c>
      <c r="B36" s="15">
        <f>B34*B35</f>
        <v>82.32</v>
      </c>
      <c r="C36" t="s">
        <v>145</v>
      </c>
    </row>
    <row r="37" spans="1:3" x14ac:dyDescent="0.25">
      <c r="A37" t="s">
        <v>172</v>
      </c>
      <c r="B37" s="15">
        <f>B21*(1-B22)</f>
        <v>4.8000000000000007</v>
      </c>
      <c r="C37" t="s">
        <v>145</v>
      </c>
    </row>
    <row r="39" spans="1:3" x14ac:dyDescent="0.25">
      <c r="A39" t="s">
        <v>173</v>
      </c>
    </row>
    <row r="40" spans="1:3" x14ac:dyDescent="0.25">
      <c r="A40" t="str">
        <f>A26</f>
        <v>Standard materialkost</v>
      </c>
      <c r="B40" s="15">
        <f>C31</f>
        <v>35.157499999999999</v>
      </c>
      <c r="C40" t="s">
        <v>145</v>
      </c>
    </row>
    <row r="41" spans="1:3" x14ac:dyDescent="0.25">
      <c r="A41" t="s">
        <v>174</v>
      </c>
      <c r="B41" s="15">
        <f>B36</f>
        <v>82.32</v>
      </c>
      <c r="C41" t="s">
        <v>145</v>
      </c>
    </row>
    <row r="42" spans="1:3" x14ac:dyDescent="0.25">
      <c r="A42" s="4" t="s">
        <v>175</v>
      </c>
      <c r="B42" s="13">
        <f>B37</f>
        <v>4.8000000000000007</v>
      </c>
      <c r="C42" s="4" t="s">
        <v>145</v>
      </c>
    </row>
    <row r="43" spans="1:3" x14ac:dyDescent="0.25">
      <c r="A43" s="50" t="s">
        <v>176</v>
      </c>
      <c r="B43" s="15">
        <f>SUM(B40:B42)</f>
        <v>122.27749999999999</v>
      </c>
      <c r="C43" t="s">
        <v>145</v>
      </c>
    </row>
    <row r="46" spans="1:3" x14ac:dyDescent="0.25">
      <c r="A46" t="s">
        <v>177</v>
      </c>
    </row>
    <row r="47" spans="1:3" x14ac:dyDescent="0.25">
      <c r="B47" s="20">
        <f>B43*B7</f>
        <v>35705030</v>
      </c>
    </row>
    <row r="49" spans="1:3" x14ac:dyDescent="0.25">
      <c r="A49" t="s">
        <v>178</v>
      </c>
    </row>
    <row r="50" spans="1:3" x14ac:dyDescent="0.25">
      <c r="A50" t="s">
        <v>179</v>
      </c>
      <c r="B50" s="53">
        <f>B34*B7</f>
        <v>163519.99999999997</v>
      </c>
      <c r="C50" t="s">
        <v>67</v>
      </c>
    </row>
    <row r="51" spans="1:3" x14ac:dyDescent="0.25">
      <c r="A51" t="s">
        <v>180</v>
      </c>
      <c r="B51">
        <f>7.5</f>
        <v>7.5</v>
      </c>
    </row>
    <row r="52" spans="1:3" x14ac:dyDescent="0.25">
      <c r="A52" t="s">
        <v>181</v>
      </c>
      <c r="B52">
        <v>226</v>
      </c>
    </row>
    <row r="53" spans="1:3" x14ac:dyDescent="0.25">
      <c r="A53" t="s">
        <v>182</v>
      </c>
      <c r="B53" s="22">
        <f>B51*B52</f>
        <v>1695</v>
      </c>
      <c r="C53" t="s">
        <v>67</v>
      </c>
    </row>
    <row r="54" spans="1:3" x14ac:dyDescent="0.25">
      <c r="A54" t="s">
        <v>183</v>
      </c>
      <c r="B54" s="54">
        <f>B50/B53</f>
        <v>96.47197640117993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A2" sqref="A2"/>
    </sheetView>
  </sheetViews>
  <sheetFormatPr baseColWidth="10" defaultRowHeight="15" x14ac:dyDescent="0.25"/>
  <cols>
    <col min="1" max="1" width="30.5703125" customWidth="1"/>
    <col min="2" max="2" width="13.7109375" bestFit="1" customWidth="1"/>
    <col min="3" max="3" width="11.85546875" bestFit="1" customWidth="1"/>
    <col min="4" max="4" width="13.28515625" customWidth="1"/>
    <col min="5" max="5" width="12.42578125" customWidth="1"/>
  </cols>
  <sheetData>
    <row r="1" spans="1:5" x14ac:dyDescent="0.25">
      <c r="A1" t="s">
        <v>184</v>
      </c>
    </row>
    <row r="3" spans="1:5" x14ac:dyDescent="0.25">
      <c r="A3" s="4" t="s">
        <v>185</v>
      </c>
      <c r="B3" s="4"/>
      <c r="C3" s="4"/>
      <c r="D3" s="4"/>
      <c r="E3" s="4"/>
    </row>
    <row r="4" spans="1:5" x14ac:dyDescent="0.25">
      <c r="A4" t="s">
        <v>186</v>
      </c>
      <c r="B4" s="22">
        <v>30000</v>
      </c>
      <c r="D4" t="s">
        <v>189</v>
      </c>
      <c r="E4" s="22">
        <v>20000</v>
      </c>
    </row>
    <row r="5" spans="1:5" x14ac:dyDescent="0.25">
      <c r="A5" t="s">
        <v>187</v>
      </c>
      <c r="B5" s="22">
        <v>70000</v>
      </c>
      <c r="D5" t="s">
        <v>190</v>
      </c>
      <c r="E5" s="22">
        <v>10000</v>
      </c>
    </row>
    <row r="6" spans="1:5" x14ac:dyDescent="0.25">
      <c r="A6" s="4" t="s">
        <v>188</v>
      </c>
      <c r="B6" s="55">
        <v>50000</v>
      </c>
      <c r="C6" s="4"/>
      <c r="D6" s="4" t="s">
        <v>191</v>
      </c>
      <c r="E6" s="55">
        <v>10000</v>
      </c>
    </row>
    <row r="8" spans="1:5" x14ac:dyDescent="0.25">
      <c r="A8" t="s">
        <v>192</v>
      </c>
      <c r="B8" s="56">
        <v>12</v>
      </c>
      <c r="C8" t="s">
        <v>210</v>
      </c>
    </row>
    <row r="9" spans="1:5" x14ac:dyDescent="0.25">
      <c r="A9" t="s">
        <v>120</v>
      </c>
      <c r="B9" s="1">
        <v>0.25</v>
      </c>
    </row>
    <row r="11" spans="1:5" x14ac:dyDescent="0.25">
      <c r="A11" t="s">
        <v>193</v>
      </c>
    </row>
    <row r="12" spans="1:5" x14ac:dyDescent="0.25">
      <c r="A12" t="s">
        <v>197</v>
      </c>
      <c r="B12" s="1">
        <v>0.3</v>
      </c>
    </row>
    <row r="13" spans="1:5" x14ac:dyDescent="0.25">
      <c r="A13" t="s">
        <v>198</v>
      </c>
      <c r="B13" s="1">
        <v>0.7</v>
      </c>
    </row>
    <row r="15" spans="1:5" x14ac:dyDescent="0.25">
      <c r="A15" t="s">
        <v>194</v>
      </c>
      <c r="B15" s="2">
        <v>300000</v>
      </c>
      <c r="C15" t="s">
        <v>195</v>
      </c>
    </row>
    <row r="16" spans="1:5" x14ac:dyDescent="0.25">
      <c r="A16" t="s">
        <v>222</v>
      </c>
      <c r="B16" s="1">
        <v>0.15</v>
      </c>
      <c r="C16" t="s">
        <v>196</v>
      </c>
    </row>
    <row r="17" spans="1:5" ht="17.25" x14ac:dyDescent="0.25">
      <c r="A17" t="s">
        <v>200</v>
      </c>
      <c r="B17">
        <v>0.4</v>
      </c>
      <c r="C17" t="s">
        <v>199</v>
      </c>
    </row>
    <row r="18" spans="1:5" x14ac:dyDescent="0.25">
      <c r="A18" t="s">
        <v>201</v>
      </c>
      <c r="B18" s="1">
        <v>0.5</v>
      </c>
      <c r="C18" t="s">
        <v>202</v>
      </c>
    </row>
    <row r="19" spans="1:5" ht="17.25" x14ac:dyDescent="0.25">
      <c r="A19" t="s">
        <v>203</v>
      </c>
      <c r="B19" s="3">
        <v>7200</v>
      </c>
      <c r="C19" t="s">
        <v>204</v>
      </c>
    </row>
    <row r="20" spans="1:5" ht="17.25" x14ac:dyDescent="0.25">
      <c r="A20" t="s">
        <v>200</v>
      </c>
      <c r="B20" s="56">
        <v>8</v>
      </c>
      <c r="C20" t="s">
        <v>232</v>
      </c>
    </row>
    <row r="21" spans="1:5" x14ac:dyDescent="0.25">
      <c r="A21" t="s">
        <v>205</v>
      </c>
      <c r="B21" s="1">
        <v>0.5</v>
      </c>
      <c r="C21" t="s">
        <v>206</v>
      </c>
    </row>
    <row r="22" spans="1:5" x14ac:dyDescent="0.25">
      <c r="B22" s="1">
        <v>0.5</v>
      </c>
      <c r="C22" t="s">
        <v>207</v>
      </c>
    </row>
    <row r="23" spans="1:5" x14ac:dyDescent="0.25">
      <c r="A23" t="s">
        <v>208</v>
      </c>
      <c r="B23" s="2">
        <v>76000</v>
      </c>
      <c r="C23" t="s">
        <v>236</v>
      </c>
    </row>
    <row r="26" spans="1:5" x14ac:dyDescent="0.25">
      <c r="A26" s="4" t="s">
        <v>211</v>
      </c>
      <c r="B26" s="30" t="s">
        <v>186</v>
      </c>
      <c r="C26" s="30" t="s">
        <v>187</v>
      </c>
      <c r="D26" s="30" t="s">
        <v>188</v>
      </c>
      <c r="E26" s="30" t="s">
        <v>212</v>
      </c>
    </row>
    <row r="27" spans="1:5" x14ac:dyDescent="0.25">
      <c r="A27" t="s">
        <v>213</v>
      </c>
      <c r="B27" s="53">
        <f>B4</f>
        <v>30000</v>
      </c>
      <c r="C27" s="53">
        <f>B5</f>
        <v>70000</v>
      </c>
      <c r="D27" s="53">
        <f>B6</f>
        <v>50000</v>
      </c>
      <c r="E27" s="53">
        <f>SUM(B27:D27)</f>
        <v>150000</v>
      </c>
    </row>
    <row r="28" spans="1:5" x14ac:dyDescent="0.25">
      <c r="A28" s="21" t="s">
        <v>214</v>
      </c>
      <c r="B28" s="61">
        <f>B27*$B$8</f>
        <v>360000</v>
      </c>
      <c r="C28" s="61">
        <f t="shared" ref="C28:E28" si="0">C27*$B$8</f>
        <v>840000</v>
      </c>
      <c r="D28" s="61">
        <f t="shared" si="0"/>
        <v>600000</v>
      </c>
      <c r="E28" s="61">
        <f t="shared" si="0"/>
        <v>1800000</v>
      </c>
    </row>
    <row r="29" spans="1:5" x14ac:dyDescent="0.25">
      <c r="A29" t="s">
        <v>215</v>
      </c>
      <c r="E29" s="2"/>
    </row>
    <row r="30" spans="1:5" x14ac:dyDescent="0.25">
      <c r="A30" t="s">
        <v>216</v>
      </c>
      <c r="B30" s="2">
        <f>B15*B13*(1+$B$9)</f>
        <v>262500</v>
      </c>
      <c r="E30" s="2">
        <f>SUM(B30:D30)</f>
        <v>262500</v>
      </c>
    </row>
    <row r="31" spans="1:5" x14ac:dyDescent="0.25">
      <c r="A31" t="s">
        <v>217</v>
      </c>
      <c r="B31" s="2">
        <f>B28*B12*(1+$B$9)</f>
        <v>135000</v>
      </c>
      <c r="C31" s="2">
        <f>B28*B13*(1+$B$9)</f>
        <v>314999.99999999994</v>
      </c>
      <c r="E31" s="2">
        <f t="shared" ref="E31:E33" si="1">SUM(B31:D31)</f>
        <v>449999.99999999994</v>
      </c>
    </row>
    <row r="32" spans="1:5" x14ac:dyDescent="0.25">
      <c r="A32" t="s">
        <v>218</v>
      </c>
      <c r="C32" s="2">
        <f>C28*B12*(1+$B$9)</f>
        <v>315000</v>
      </c>
      <c r="D32" s="2">
        <f>C28*B13*(1+$B$9)</f>
        <v>735000</v>
      </c>
      <c r="E32" s="2">
        <f t="shared" si="1"/>
        <v>1050000</v>
      </c>
    </row>
    <row r="33" spans="1:5" x14ac:dyDescent="0.25">
      <c r="A33" s="4" t="s">
        <v>219</v>
      </c>
      <c r="B33" s="4"/>
      <c r="C33" s="4"/>
      <c r="D33" s="11">
        <f>D28*B12*(1+$B$9)</f>
        <v>225000</v>
      </c>
      <c r="E33" s="11">
        <f t="shared" si="1"/>
        <v>225000</v>
      </c>
    </row>
    <row r="34" spans="1:5" x14ac:dyDescent="0.25">
      <c r="A34" s="57" t="s">
        <v>220</v>
      </c>
      <c r="B34" s="58">
        <f>SUM(B30:B33)</f>
        <v>397500</v>
      </c>
      <c r="C34" s="58">
        <f t="shared" ref="C34:E34" si="2">SUM(C30:C33)</f>
        <v>630000</v>
      </c>
      <c r="D34" s="58">
        <f t="shared" si="2"/>
        <v>960000</v>
      </c>
      <c r="E34" s="58">
        <f t="shared" si="2"/>
        <v>1987500</v>
      </c>
    </row>
    <row r="35" spans="1:5" x14ac:dyDescent="0.25">
      <c r="E35" s="2"/>
    </row>
    <row r="36" spans="1:5" x14ac:dyDescent="0.25">
      <c r="E36" s="2"/>
    </row>
    <row r="37" spans="1:5" x14ac:dyDescent="0.25">
      <c r="A37" s="4" t="s">
        <v>224</v>
      </c>
      <c r="B37" s="30" t="s">
        <v>186</v>
      </c>
      <c r="C37" s="30" t="s">
        <v>187</v>
      </c>
      <c r="D37" s="30" t="s">
        <v>188</v>
      </c>
      <c r="E37" s="30" t="s">
        <v>189</v>
      </c>
    </row>
    <row r="38" spans="1:5" x14ac:dyDescent="0.25">
      <c r="A38" t="str">
        <f>A27</f>
        <v>Salg i antall enheter</v>
      </c>
      <c r="B38" s="22">
        <f t="shared" ref="B38:D38" si="3">B27</f>
        <v>30000</v>
      </c>
      <c r="C38" s="22">
        <f t="shared" si="3"/>
        <v>70000</v>
      </c>
      <c r="D38" s="22">
        <f t="shared" si="3"/>
        <v>50000</v>
      </c>
      <c r="E38" s="22">
        <f>E4</f>
        <v>20000</v>
      </c>
    </row>
    <row r="39" spans="1:5" x14ac:dyDescent="0.25">
      <c r="A39" t="s">
        <v>221</v>
      </c>
      <c r="B39" s="53">
        <f>$B$16*C38</f>
        <v>10500</v>
      </c>
      <c r="C39" s="53">
        <f t="shared" ref="C39:D39" si="4">$B$16*D38</f>
        <v>7500</v>
      </c>
      <c r="D39" s="53">
        <f t="shared" si="4"/>
        <v>3000</v>
      </c>
      <c r="E39" s="53">
        <f>$B$16*E5</f>
        <v>1500</v>
      </c>
    </row>
    <row r="40" spans="1:5" x14ac:dyDescent="0.25">
      <c r="A40" s="4" t="s">
        <v>223</v>
      </c>
      <c r="B40" s="60">
        <f>B16*B38</f>
        <v>4500</v>
      </c>
      <c r="C40" s="60">
        <f>B39</f>
        <v>10500</v>
      </c>
      <c r="D40" s="60">
        <f t="shared" ref="D40:E40" si="5">C39</f>
        <v>7500</v>
      </c>
      <c r="E40" s="60">
        <f t="shared" si="5"/>
        <v>3000</v>
      </c>
    </row>
    <row r="41" spans="1:5" x14ac:dyDescent="0.25">
      <c r="A41" s="50" t="s">
        <v>225</v>
      </c>
      <c r="B41" s="53">
        <f>B38+B39-B40</f>
        <v>36000</v>
      </c>
      <c r="C41" s="53">
        <f t="shared" ref="C41:E41" si="6">C38+C39-C40</f>
        <v>67000</v>
      </c>
      <c r="D41" s="53">
        <f t="shared" si="6"/>
        <v>45500</v>
      </c>
      <c r="E41" s="53">
        <f t="shared" si="6"/>
        <v>18500</v>
      </c>
    </row>
    <row r="44" spans="1:5" x14ac:dyDescent="0.25">
      <c r="A44" s="4" t="s">
        <v>226</v>
      </c>
      <c r="B44" s="30" t="str">
        <f>B26</f>
        <v>Juli</v>
      </c>
      <c r="C44" s="30" t="str">
        <f t="shared" ref="C44:E44" si="7">C26</f>
        <v>August</v>
      </c>
      <c r="D44" s="30" t="str">
        <f t="shared" si="7"/>
        <v>September</v>
      </c>
      <c r="E44" s="30" t="str">
        <f t="shared" si="7"/>
        <v>Totalt</v>
      </c>
    </row>
    <row r="45" spans="1:5" ht="17.25" x14ac:dyDescent="0.25">
      <c r="A45" s="50" t="s">
        <v>227</v>
      </c>
      <c r="B45" s="53">
        <f>B41*$B$17</f>
        <v>14400</v>
      </c>
      <c r="C45" s="53">
        <f t="shared" ref="C45:D45" si="8">C41*$B$17</f>
        <v>26800</v>
      </c>
      <c r="D45" s="53">
        <f t="shared" si="8"/>
        <v>18200</v>
      </c>
      <c r="E45" s="53">
        <f>SUM(B45:D45)</f>
        <v>59400</v>
      </c>
    </row>
    <row r="46" spans="1:5" ht="17.25" x14ac:dyDescent="0.25">
      <c r="A46" s="50" t="s">
        <v>228</v>
      </c>
      <c r="B46" s="53">
        <f>$B$18*C41*$B$17</f>
        <v>13400</v>
      </c>
      <c r="C46" s="53">
        <f t="shared" ref="C46:D46" si="9">$B$18*D41*$B$17</f>
        <v>9100</v>
      </c>
      <c r="D46" s="53">
        <f t="shared" si="9"/>
        <v>3700</v>
      </c>
    </row>
    <row r="47" spans="1:5" ht="17.25" x14ac:dyDescent="0.25">
      <c r="A47" s="62" t="s">
        <v>230</v>
      </c>
      <c r="B47" s="12">
        <f>B19</f>
        <v>7200</v>
      </c>
      <c r="C47" s="60">
        <f>B46</f>
        <v>13400</v>
      </c>
      <c r="D47" s="60">
        <f>C46</f>
        <v>9100</v>
      </c>
      <c r="E47" s="4"/>
    </row>
    <row r="48" spans="1:5" ht="17.25" x14ac:dyDescent="0.25">
      <c r="A48" s="50" t="s">
        <v>229</v>
      </c>
      <c r="B48" s="53">
        <f>B45+B46-B47</f>
        <v>20600</v>
      </c>
      <c r="C48" s="53">
        <f t="shared" ref="C48:D48" si="10">C45+C46-C47</f>
        <v>22500</v>
      </c>
      <c r="D48" s="53">
        <f t="shared" si="10"/>
        <v>12800</v>
      </c>
      <c r="E48" s="53">
        <f>SUM(B48:D48)</f>
        <v>55900</v>
      </c>
    </row>
    <row r="49" spans="1:6" x14ac:dyDescent="0.25">
      <c r="A49" s="50" t="s">
        <v>231</v>
      </c>
      <c r="B49" s="2">
        <f>B48*$B$20</f>
        <v>164800</v>
      </c>
      <c r="C49" s="2">
        <f t="shared" ref="C49:D49" si="11">C48*$B$20</f>
        <v>180000</v>
      </c>
      <c r="D49" s="2">
        <f t="shared" si="11"/>
        <v>102400</v>
      </c>
      <c r="E49" s="2">
        <f>SUM(B49:D49)</f>
        <v>447200</v>
      </c>
    </row>
    <row r="50" spans="1:6" x14ac:dyDescent="0.25">
      <c r="A50" s="50" t="s">
        <v>233</v>
      </c>
      <c r="B50" s="2">
        <f>B49*(1+$B$9)</f>
        <v>206000</v>
      </c>
      <c r="C50" s="2">
        <f t="shared" ref="C50:E50" si="12">C49*(1+$B$9)</f>
        <v>225000</v>
      </c>
      <c r="D50" s="2">
        <f t="shared" si="12"/>
        <v>128000</v>
      </c>
      <c r="E50" s="2">
        <f t="shared" si="12"/>
        <v>559000</v>
      </c>
    </row>
    <row r="51" spans="1:6" x14ac:dyDescent="0.25">
      <c r="B51" s="2"/>
    </row>
    <row r="52" spans="1:6" x14ac:dyDescent="0.25">
      <c r="A52" s="4" t="s">
        <v>234</v>
      </c>
      <c r="B52" s="30" t="str">
        <f>B44</f>
        <v>Juli</v>
      </c>
      <c r="C52" s="30" t="str">
        <f t="shared" ref="C52:E52" si="13">C44</f>
        <v>August</v>
      </c>
      <c r="D52" s="30" t="str">
        <f t="shared" si="13"/>
        <v>September</v>
      </c>
      <c r="E52" s="30" t="str">
        <f t="shared" si="13"/>
        <v>Totalt</v>
      </c>
    </row>
    <row r="53" spans="1:6" x14ac:dyDescent="0.25">
      <c r="A53" t="s">
        <v>235</v>
      </c>
      <c r="B53" s="2">
        <f>B23</f>
        <v>76000</v>
      </c>
      <c r="C53" s="2"/>
      <c r="D53" s="2"/>
      <c r="E53" s="2">
        <f>SUM(B53:D53)</f>
        <v>76000</v>
      </c>
      <c r="F53" s="2"/>
    </row>
    <row r="54" spans="1:6" x14ac:dyDescent="0.25">
      <c r="A54" t="s">
        <v>237</v>
      </c>
      <c r="B54" s="2">
        <f>B21*B50</f>
        <v>103000</v>
      </c>
      <c r="C54" s="2">
        <f>B50*B22</f>
        <v>103000</v>
      </c>
      <c r="D54" s="2"/>
      <c r="E54" s="2">
        <f t="shared" ref="E54:E56" si="14">SUM(B54:D54)</f>
        <v>206000</v>
      </c>
      <c r="F54" s="2"/>
    </row>
    <row r="55" spans="1:6" x14ac:dyDescent="0.25">
      <c r="A55" t="s">
        <v>238</v>
      </c>
      <c r="B55" s="2"/>
      <c r="C55" s="2">
        <f>C50*B21</f>
        <v>112500</v>
      </c>
      <c r="D55" s="2">
        <f>C50*B22</f>
        <v>112500</v>
      </c>
      <c r="E55" s="2">
        <f t="shared" si="14"/>
        <v>225000</v>
      </c>
      <c r="F55" s="2"/>
    </row>
    <row r="56" spans="1:6" x14ac:dyDescent="0.25">
      <c r="A56" s="4" t="s">
        <v>239</v>
      </c>
      <c r="B56" s="11"/>
      <c r="C56" s="11"/>
      <c r="D56" s="11">
        <f>D50*B21</f>
        <v>64000</v>
      </c>
      <c r="E56" s="11">
        <f t="shared" si="14"/>
        <v>64000</v>
      </c>
      <c r="F56" s="2"/>
    </row>
    <row r="57" spans="1:6" x14ac:dyDescent="0.25">
      <c r="A57" t="s">
        <v>240</v>
      </c>
      <c r="B57" s="2">
        <f>SUM(B53:B56)</f>
        <v>179000</v>
      </c>
      <c r="C57" s="2">
        <f t="shared" ref="C57:E57" si="15">SUM(C53:C56)</f>
        <v>215500</v>
      </c>
      <c r="D57" s="2">
        <f t="shared" si="15"/>
        <v>176500</v>
      </c>
      <c r="E57" s="2">
        <f t="shared" si="15"/>
        <v>571000</v>
      </c>
      <c r="F57" s="2"/>
    </row>
    <row r="58" spans="1:6" x14ac:dyDescent="0.25">
      <c r="B58" s="2"/>
      <c r="C58" s="2"/>
      <c r="D58" s="2"/>
      <c r="E58" s="2"/>
      <c r="F58" s="2"/>
    </row>
    <row r="59" spans="1:6" x14ac:dyDescent="0.25">
      <c r="B59" s="2"/>
      <c r="C59" s="2"/>
      <c r="D59" s="2"/>
      <c r="E59" s="2"/>
      <c r="F59" s="2"/>
    </row>
    <row r="60" spans="1:6" x14ac:dyDescent="0.25">
      <c r="B60" s="2"/>
      <c r="C60" s="2"/>
      <c r="D60" s="2"/>
      <c r="E60" s="2"/>
      <c r="F60" s="2"/>
    </row>
    <row r="61" spans="1:6" x14ac:dyDescent="0.25">
      <c r="B61" s="2"/>
      <c r="C61" s="2"/>
      <c r="D61" s="2"/>
      <c r="E61" s="2"/>
      <c r="F61" s="2"/>
    </row>
    <row r="62" spans="1:6" x14ac:dyDescent="0.25">
      <c r="B62" s="2"/>
      <c r="C62" s="2"/>
      <c r="D62" s="2"/>
      <c r="E62" s="2"/>
      <c r="F62" s="2"/>
    </row>
    <row r="63" spans="1:6" x14ac:dyDescent="0.25">
      <c r="B63" s="2"/>
      <c r="C63" s="2"/>
      <c r="D63" s="2"/>
      <c r="E63" s="2"/>
      <c r="F63" s="2"/>
    </row>
    <row r="64" spans="1:6" x14ac:dyDescent="0.25">
      <c r="B64" s="2"/>
      <c r="C64" s="2"/>
      <c r="D64" s="2"/>
      <c r="E64" s="2"/>
      <c r="F64" s="2"/>
    </row>
    <row r="65" spans="2:6" x14ac:dyDescent="0.25">
      <c r="B65" s="2"/>
      <c r="C65" s="2"/>
      <c r="D65" s="2"/>
      <c r="E65" s="2"/>
      <c r="F6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2" sqref="B2"/>
    </sheetView>
  </sheetViews>
  <sheetFormatPr baseColWidth="10" defaultRowHeight="15" x14ac:dyDescent="0.25"/>
  <cols>
    <col min="1" max="1" width="40" customWidth="1"/>
    <col min="2" max="2" width="14.7109375" customWidth="1"/>
    <col min="3" max="3" width="14.140625" customWidth="1"/>
    <col min="4" max="4" width="12.85546875" customWidth="1"/>
    <col min="5" max="5" width="16.42578125" customWidth="1"/>
  </cols>
  <sheetData>
    <row r="1" spans="1:4" x14ac:dyDescent="0.25">
      <c r="A1" t="s">
        <v>241</v>
      </c>
    </row>
    <row r="3" spans="1:4" x14ac:dyDescent="0.25">
      <c r="A3" s="4" t="s">
        <v>242</v>
      </c>
      <c r="B3" s="4"/>
    </row>
    <row r="4" spans="1:4" x14ac:dyDescent="0.25">
      <c r="A4" t="s">
        <v>243</v>
      </c>
      <c r="B4" s="20">
        <v>90000</v>
      </c>
    </row>
    <row r="5" spans="1:4" x14ac:dyDescent="0.25">
      <c r="A5" t="s">
        <v>244</v>
      </c>
      <c r="B5" s="20">
        <v>400000</v>
      </c>
    </row>
    <row r="6" spans="1:4" x14ac:dyDescent="0.25">
      <c r="A6" t="s">
        <v>245</v>
      </c>
      <c r="B6" s="20">
        <v>33600</v>
      </c>
    </row>
    <row r="7" spans="1:4" x14ac:dyDescent="0.25">
      <c r="A7" t="s">
        <v>246</v>
      </c>
      <c r="B7" s="20">
        <f>B4-B6</f>
        <v>56400</v>
      </c>
    </row>
    <row r="8" spans="1:4" x14ac:dyDescent="0.25">
      <c r="A8" t="s">
        <v>247</v>
      </c>
      <c r="B8" s="20"/>
    </row>
    <row r="9" spans="1:4" x14ac:dyDescent="0.25">
      <c r="A9" t="s">
        <v>248</v>
      </c>
      <c r="B9" s="26">
        <v>0.14099999999999999</v>
      </c>
    </row>
    <row r="10" spans="1:4" x14ac:dyDescent="0.25">
      <c r="A10" t="s">
        <v>249</v>
      </c>
      <c r="B10" s="26">
        <v>0.12</v>
      </c>
    </row>
    <row r="11" spans="1:4" x14ac:dyDescent="0.25">
      <c r="B11" s="20"/>
    </row>
    <row r="12" spans="1:4" x14ac:dyDescent="0.25">
      <c r="A12" s="21"/>
    </row>
    <row r="13" spans="1:4" x14ac:dyDescent="0.25">
      <c r="A13" s="4"/>
      <c r="B13" s="30" t="s">
        <v>186</v>
      </c>
      <c r="C13" s="30" t="s">
        <v>187</v>
      </c>
      <c r="D13" s="30" t="s">
        <v>188</v>
      </c>
    </row>
    <row r="14" spans="1:4" x14ac:dyDescent="0.25">
      <c r="A14" s="21" t="s">
        <v>250</v>
      </c>
      <c r="B14" s="20">
        <v>100000</v>
      </c>
      <c r="C14" s="20">
        <v>400000</v>
      </c>
      <c r="D14" s="20">
        <v>400000</v>
      </c>
    </row>
    <row r="15" spans="1:4" x14ac:dyDescent="0.25">
      <c r="A15" s="4" t="s">
        <v>248</v>
      </c>
      <c r="B15" s="14">
        <f>$B$9*B14/(1+$B$9)</f>
        <v>12357.581069237509</v>
      </c>
      <c r="C15" s="14">
        <f t="shared" ref="C15:D15" si="0">$B$9*C14/(1+$B$9)</f>
        <v>49430.324276950036</v>
      </c>
      <c r="D15" s="14">
        <f t="shared" si="0"/>
        <v>49430.324276950036</v>
      </c>
    </row>
    <row r="16" spans="1:4" x14ac:dyDescent="0.25">
      <c r="A16" s="21" t="s">
        <v>251</v>
      </c>
      <c r="B16" s="20">
        <f>B14-B15</f>
        <v>87642.418930762491</v>
      </c>
      <c r="C16" s="20">
        <f t="shared" ref="C16:D16" si="1">C14-C15</f>
        <v>350569.67572304996</v>
      </c>
      <c r="D16" s="20">
        <f t="shared" si="1"/>
        <v>350569.67572304996</v>
      </c>
    </row>
    <row r="17" spans="1:5" x14ac:dyDescent="0.25">
      <c r="A17" s="62" t="s">
        <v>252</v>
      </c>
      <c r="B17" s="14">
        <f>$B$10*B16/(1+$B$10)</f>
        <v>9390.2591711531222</v>
      </c>
      <c r="C17" s="14">
        <f t="shared" ref="C17:D17" si="2">$B$10*C16/(1+$B$10)</f>
        <v>37561.036684612489</v>
      </c>
      <c r="D17" s="14">
        <f t="shared" si="2"/>
        <v>37561.036684612489</v>
      </c>
    </row>
    <row r="18" spans="1:5" x14ac:dyDescent="0.25">
      <c r="A18" s="50" t="s">
        <v>253</v>
      </c>
      <c r="B18" s="20">
        <f>B16-B17</f>
        <v>78252.159759609363</v>
      </c>
      <c r="C18" s="20">
        <f t="shared" ref="C18:D18" si="3">C16-C17</f>
        <v>313008.63903843745</v>
      </c>
      <c r="D18" s="20">
        <f t="shared" si="3"/>
        <v>313008.63903843745</v>
      </c>
    </row>
    <row r="19" spans="1:5" x14ac:dyDescent="0.25">
      <c r="A19" s="21" t="s">
        <v>254</v>
      </c>
      <c r="B19" s="20">
        <f>$B$9*B18</f>
        <v>11033.554526104919</v>
      </c>
      <c r="C19" s="20">
        <f t="shared" ref="C19:D19" si="4">$B$9*C18</f>
        <v>44134.218104419677</v>
      </c>
      <c r="D19" s="20">
        <f t="shared" si="4"/>
        <v>44134.218104419677</v>
      </c>
    </row>
    <row r="20" spans="1:5" x14ac:dyDescent="0.25">
      <c r="A20" s="21" t="s">
        <v>255</v>
      </c>
      <c r="B20" s="20">
        <f>B15-B19</f>
        <v>1324.0265431325897</v>
      </c>
      <c r="C20" s="20">
        <f t="shared" ref="C20:D20" si="5">C15-C19</f>
        <v>5296.1061725303589</v>
      </c>
      <c r="D20" s="20">
        <f t="shared" si="5"/>
        <v>5296.1061725303589</v>
      </c>
    </row>
    <row r="21" spans="1:5" x14ac:dyDescent="0.25">
      <c r="B21" s="20"/>
      <c r="C21" s="20"/>
      <c r="D21" s="20"/>
    </row>
    <row r="23" spans="1:5" x14ac:dyDescent="0.25">
      <c r="A23" s="4" t="s">
        <v>256</v>
      </c>
      <c r="B23" s="30" t="str">
        <f>B13</f>
        <v>Juli</v>
      </c>
      <c r="C23" s="30" t="str">
        <f t="shared" ref="C23:D23" si="6">C13</f>
        <v>August</v>
      </c>
      <c r="D23" s="30" t="str">
        <f t="shared" si="6"/>
        <v>September</v>
      </c>
      <c r="E23" s="30" t="s">
        <v>257</v>
      </c>
    </row>
    <row r="24" spans="1:5" x14ac:dyDescent="0.25">
      <c r="A24" s="50" t="s">
        <v>253</v>
      </c>
      <c r="B24" s="20">
        <f>B18</f>
        <v>78252.159759609363</v>
      </c>
      <c r="C24" s="20">
        <f t="shared" ref="C24:D24" si="7">C18</f>
        <v>313008.63903843745</v>
      </c>
      <c r="D24" s="20">
        <f t="shared" si="7"/>
        <v>313008.63903843745</v>
      </c>
    </row>
    <row r="25" spans="1:5" x14ac:dyDescent="0.25">
      <c r="A25" s="50" t="s">
        <v>258</v>
      </c>
    </row>
    <row r="26" spans="1:5" x14ac:dyDescent="0.25">
      <c r="A26" s="50" t="s">
        <v>259</v>
      </c>
      <c r="D26" s="20">
        <f>B19+C19</f>
        <v>55167.772630524596</v>
      </c>
    </row>
    <row r="27" spans="1:5" x14ac:dyDescent="0.25">
      <c r="A27" s="50" t="s">
        <v>260</v>
      </c>
      <c r="E27" s="20">
        <f>D19</f>
        <v>44134.218104419677</v>
      </c>
    </row>
    <row r="28" spans="1:5" x14ac:dyDescent="0.25">
      <c r="A28" s="50" t="s">
        <v>261</v>
      </c>
    </row>
    <row r="29" spans="1:5" x14ac:dyDescent="0.25">
      <c r="A29" s="50" t="s">
        <v>262</v>
      </c>
      <c r="B29" s="20">
        <f>B5</f>
        <v>400000</v>
      </c>
    </row>
    <row r="30" spans="1:5" x14ac:dyDescent="0.25">
      <c r="A30" s="50" t="s">
        <v>263</v>
      </c>
      <c r="E30" s="20">
        <f>SUM(B17:D17)</f>
        <v>84512.332540378091</v>
      </c>
    </row>
    <row r="31" spans="1:5" x14ac:dyDescent="0.25">
      <c r="A31" s="50" t="s">
        <v>264</v>
      </c>
    </row>
    <row r="32" spans="1:5" x14ac:dyDescent="0.25">
      <c r="A32" s="50" t="s">
        <v>262</v>
      </c>
      <c r="D32" s="20">
        <f>B7</f>
        <v>56400</v>
      </c>
    </row>
    <row r="33" spans="1:5" x14ac:dyDescent="0.25">
      <c r="A33" s="62" t="s">
        <v>265</v>
      </c>
      <c r="B33" s="4"/>
      <c r="C33" s="4"/>
      <c r="D33" s="4"/>
      <c r="E33" s="14">
        <f>SUM(B20:D20)</f>
        <v>11916.238888193308</v>
      </c>
    </row>
    <row r="34" spans="1:5" x14ac:dyDescent="0.25">
      <c r="A34" s="50" t="s">
        <v>266</v>
      </c>
      <c r="B34" s="20">
        <f>B24</f>
        <v>78252.159759609363</v>
      </c>
      <c r="C34" s="20">
        <f t="shared" ref="C34:D34" si="8">C24</f>
        <v>313008.63903843745</v>
      </c>
      <c r="D34" s="20">
        <f t="shared" si="8"/>
        <v>313008.63903843745</v>
      </c>
    </row>
    <row r="35" spans="1:5" x14ac:dyDescent="0.25">
      <c r="A35" s="50" t="s">
        <v>267</v>
      </c>
      <c r="D35" s="20">
        <f>D26+D32</f>
        <v>111567.77263052459</v>
      </c>
      <c r="E35" s="20">
        <f>E27+E33</f>
        <v>56050.456992612984</v>
      </c>
    </row>
    <row r="36" spans="1:5" x14ac:dyDescent="0.25">
      <c r="A36" s="62" t="s">
        <v>268</v>
      </c>
      <c r="B36" s="14">
        <f>B29</f>
        <v>400000</v>
      </c>
      <c r="C36" s="4"/>
      <c r="D36" s="14"/>
      <c r="E36" s="14">
        <f>E30</f>
        <v>84512.332540378091</v>
      </c>
    </row>
  </sheetData>
  <pageMargins left="0.7" right="0.7" top="0.75" bottom="0.75" header="0.3" footer="0.3"/>
  <ignoredErrors>
    <ignoredError sqref="B17 C17:D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115" zoomScaleNormal="115" workbookViewId="0">
      <selection activeCell="B2" sqref="B2"/>
    </sheetView>
  </sheetViews>
  <sheetFormatPr baseColWidth="10" defaultRowHeight="15" x14ac:dyDescent="0.25"/>
  <cols>
    <col min="1" max="1" width="28.140625" customWidth="1"/>
    <col min="2" max="2" width="16" customWidth="1"/>
    <col min="3" max="3" width="13.28515625" customWidth="1"/>
    <col min="4" max="4" width="13.28515625" bestFit="1" customWidth="1"/>
  </cols>
  <sheetData>
    <row r="1" spans="1:3" x14ac:dyDescent="0.25">
      <c r="A1" t="s">
        <v>269</v>
      </c>
    </row>
    <row r="3" spans="1:3" x14ac:dyDescent="0.25">
      <c r="A3" t="s">
        <v>273</v>
      </c>
    </row>
    <row r="4" spans="1:3" x14ac:dyDescent="0.25">
      <c r="A4" t="s">
        <v>270</v>
      </c>
      <c r="B4" s="22">
        <v>250000</v>
      </c>
    </row>
    <row r="5" spans="1:3" x14ac:dyDescent="0.25">
      <c r="A5" t="s">
        <v>271</v>
      </c>
      <c r="B5" s="20">
        <v>800</v>
      </c>
    </row>
    <row r="6" spans="1:3" x14ac:dyDescent="0.25">
      <c r="A6" t="s">
        <v>272</v>
      </c>
      <c r="B6" s="20"/>
    </row>
    <row r="7" spans="1:3" x14ac:dyDescent="0.25">
      <c r="A7" t="s">
        <v>274</v>
      </c>
      <c r="B7" s="20">
        <v>50</v>
      </c>
      <c r="C7" t="s">
        <v>145</v>
      </c>
    </row>
    <row r="8" spans="1:3" x14ac:dyDescent="0.25">
      <c r="A8" t="s">
        <v>82</v>
      </c>
      <c r="B8" s="20">
        <v>200</v>
      </c>
      <c r="C8" t="s">
        <v>145</v>
      </c>
    </row>
    <row r="9" spans="1:3" x14ac:dyDescent="0.25">
      <c r="A9" t="s">
        <v>275</v>
      </c>
      <c r="B9" s="20">
        <v>150</v>
      </c>
      <c r="C9" t="s">
        <v>145</v>
      </c>
    </row>
    <row r="10" spans="1:3" x14ac:dyDescent="0.25">
      <c r="A10" t="s">
        <v>276</v>
      </c>
      <c r="B10" s="20">
        <v>13</v>
      </c>
      <c r="C10" t="s">
        <v>145</v>
      </c>
    </row>
    <row r="11" spans="1:3" x14ac:dyDescent="0.25">
      <c r="B11" s="20"/>
    </row>
    <row r="12" spans="1:3" x14ac:dyDescent="0.25">
      <c r="A12" t="s">
        <v>277</v>
      </c>
      <c r="B12" s="20">
        <v>57470000</v>
      </c>
      <c r="C12" t="s">
        <v>278</v>
      </c>
    </row>
    <row r="13" spans="1:3" x14ac:dyDescent="0.25">
      <c r="A13" t="s">
        <v>24</v>
      </c>
      <c r="B13" s="20">
        <v>13812000</v>
      </c>
      <c r="C13" t="s">
        <v>278</v>
      </c>
    </row>
    <row r="14" spans="1:3" x14ac:dyDescent="0.25">
      <c r="A14" t="s">
        <v>279</v>
      </c>
      <c r="B14" s="20">
        <v>87000</v>
      </c>
      <c r="C14" t="s">
        <v>278</v>
      </c>
    </row>
    <row r="15" spans="1:3" x14ac:dyDescent="0.25">
      <c r="A15" t="s">
        <v>280</v>
      </c>
      <c r="B15" s="20">
        <v>12664000</v>
      </c>
      <c r="C15" t="s">
        <v>278</v>
      </c>
    </row>
    <row r="16" spans="1:3" x14ac:dyDescent="0.25">
      <c r="A16" t="s">
        <v>281</v>
      </c>
      <c r="B16" s="63">
        <v>0.27</v>
      </c>
    </row>
    <row r="18" spans="1:4" x14ac:dyDescent="0.25">
      <c r="A18" t="s">
        <v>282</v>
      </c>
    </row>
    <row r="19" spans="1:4" x14ac:dyDescent="0.25">
      <c r="A19" t="s">
        <v>283</v>
      </c>
      <c r="B19" s="20">
        <f>$B$4*B5</f>
        <v>200000000</v>
      </c>
    </row>
    <row r="20" spans="1:4" x14ac:dyDescent="0.25">
      <c r="A20" t="str">
        <f>A7</f>
        <v xml:space="preserve">Direkte material </v>
      </c>
      <c r="B20" s="20">
        <f>$B$4*B7</f>
        <v>12500000</v>
      </c>
    </row>
    <row r="21" spans="1:4" x14ac:dyDescent="0.25">
      <c r="A21" t="str">
        <f t="shared" ref="A21:A23" si="0">A8</f>
        <v>Direkte lønn</v>
      </c>
      <c r="B21" s="20">
        <f t="shared" ref="B21:B23" si="1">$B$4*B8</f>
        <v>50000000</v>
      </c>
    </row>
    <row r="22" spans="1:4" x14ac:dyDescent="0.25">
      <c r="A22" t="str">
        <f t="shared" si="0"/>
        <v>Indir var tilv.kostn.</v>
      </c>
      <c r="B22" s="20">
        <f t="shared" si="1"/>
        <v>37500000</v>
      </c>
    </row>
    <row r="23" spans="1:4" x14ac:dyDescent="0.25">
      <c r="A23" s="4" t="str">
        <f t="shared" si="0"/>
        <v>Selgerkostnader</v>
      </c>
      <c r="B23" s="14">
        <f t="shared" si="1"/>
        <v>3250000</v>
      </c>
    </row>
    <row r="24" spans="1:4" x14ac:dyDescent="0.25">
      <c r="A24" t="s">
        <v>55</v>
      </c>
      <c r="B24" s="20">
        <f>B19-SUM(B20:B23)</f>
        <v>96750000</v>
      </c>
    </row>
    <row r="25" spans="1:4" x14ac:dyDescent="0.25">
      <c r="A25" t="s">
        <v>88</v>
      </c>
      <c r="B25" s="20">
        <f>B12</f>
        <v>57470000</v>
      </c>
    </row>
    <row r="26" spans="1:4" x14ac:dyDescent="0.25">
      <c r="A26" s="4" t="s">
        <v>24</v>
      </c>
      <c r="B26" s="14">
        <f>B13</f>
        <v>13812000</v>
      </c>
    </row>
    <row r="27" spans="1:4" x14ac:dyDescent="0.25">
      <c r="A27" s="50" t="s">
        <v>285</v>
      </c>
      <c r="B27" s="20">
        <f>B24-B25-B26</f>
        <v>25468000</v>
      </c>
    </row>
    <row r="28" spans="1:4" x14ac:dyDescent="0.25">
      <c r="A28" t="str">
        <f>A14</f>
        <v>Renteinntekter</v>
      </c>
      <c r="B28" s="20">
        <f>B14</f>
        <v>87000</v>
      </c>
    </row>
    <row r="29" spans="1:4" x14ac:dyDescent="0.25">
      <c r="A29" s="4" t="str">
        <f>A15</f>
        <v>Rentekostnader</v>
      </c>
      <c r="B29" s="14">
        <f>B15</f>
        <v>12664000</v>
      </c>
      <c r="D29" s="20"/>
    </row>
    <row r="30" spans="1:4" x14ac:dyDescent="0.25">
      <c r="A30" s="50" t="s">
        <v>286</v>
      </c>
      <c r="B30" s="20">
        <f>B27+B28-B29</f>
        <v>12891000</v>
      </c>
    </row>
    <row r="31" spans="1:4" x14ac:dyDescent="0.25">
      <c r="A31" s="62" t="s">
        <v>287</v>
      </c>
      <c r="B31" s="14">
        <f>B16*B30</f>
        <v>3480570</v>
      </c>
    </row>
    <row r="32" spans="1:4" x14ac:dyDescent="0.25">
      <c r="A32" s="50" t="s">
        <v>288</v>
      </c>
      <c r="B32" s="20">
        <f>B30-B31</f>
        <v>9410430</v>
      </c>
      <c r="D32" s="20"/>
    </row>
    <row r="33" spans="1:3" x14ac:dyDescent="0.25">
      <c r="B33" s="20"/>
    </row>
    <row r="34" spans="1:3" x14ac:dyDescent="0.25">
      <c r="B34" s="20"/>
    </row>
    <row r="35" spans="1:3" x14ac:dyDescent="0.25">
      <c r="A35" t="s">
        <v>162</v>
      </c>
      <c r="B35" s="20"/>
    </row>
    <row r="36" spans="1:3" x14ac:dyDescent="0.25">
      <c r="A36" t="s">
        <v>289</v>
      </c>
      <c r="B36" s="64">
        <f>B24/B19</f>
        <v>0.48375000000000001</v>
      </c>
    </row>
    <row r="37" spans="1:3" x14ac:dyDescent="0.25">
      <c r="A37" t="s">
        <v>290</v>
      </c>
      <c r="B37" s="20">
        <f>(B25+B26+B29-B28)/B36</f>
        <v>173351937.98449612</v>
      </c>
    </row>
    <row r="38" spans="1:3" x14ac:dyDescent="0.25">
      <c r="A38" t="s">
        <v>291</v>
      </c>
      <c r="B38" s="22">
        <f>B37/B5</f>
        <v>216689.92248062015</v>
      </c>
      <c r="C38" t="s">
        <v>75</v>
      </c>
    </row>
    <row r="39" spans="1:3" x14ac:dyDescent="0.25">
      <c r="B39" s="20"/>
    </row>
    <row r="40" spans="1:3" x14ac:dyDescent="0.25">
      <c r="B4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15.12</vt:lpstr>
      <vt:lpstr>15.13</vt:lpstr>
      <vt:lpstr>15.14</vt:lpstr>
      <vt:lpstr>15.15</vt:lpstr>
      <vt:lpstr>15.16</vt:lpstr>
      <vt:lpstr>15.18</vt:lpstr>
      <vt:lpstr>15.20</vt:lpstr>
      <vt:lpstr>15.21</vt:lpstr>
      <vt:lpstr>15.23</vt:lpstr>
      <vt:lpstr>15.24</vt:lpstr>
      <vt:lpstr>15.25</vt:lpstr>
    </vt:vector>
  </TitlesOfParts>
  <Company>Høgskolen i Nord-Trøndelag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Helbæk Morten</dc:creator>
  <cp:lastModifiedBy>Helbæk Morten</cp:lastModifiedBy>
  <dcterms:created xsi:type="dcterms:W3CDTF">2015-07-01T15:26:52Z</dcterms:created>
  <dcterms:modified xsi:type="dcterms:W3CDTF">2015-07-15T21:22:59Z</dcterms:modified>
</cp:coreProperties>
</file>